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p\Documents\ETI G1\"/>
    </mc:Choice>
  </mc:AlternateContent>
  <bookViews>
    <workbookView xWindow="0" yWindow="0" windowWidth="15360" windowHeight="7755" activeTab="1"/>
  </bookViews>
  <sheets>
    <sheet name="Graf AuxTransxGen" sheetId="8" r:id="rId1"/>
    <sheet name="Hoja3" sheetId="9" r:id="rId2"/>
    <sheet name="EMPLEADOS" sheetId="1" r:id="rId3"/>
    <sheet name="Reglas de Negocio" sheetId="5" r:id="rId4"/>
    <sheet name="NOMINA" sheetId="2" r:id="rId5"/>
    <sheet name="TABLAS" sheetId="3" r:id="rId6"/>
    <sheet name="Pruebas" sheetId="4" r:id="rId7"/>
    <sheet name="Consultas" sheetId="6" r:id="rId8"/>
    <sheet name="Hoja2" sheetId="7" r:id="rId9"/>
  </sheets>
  <definedNames>
    <definedName name="RANGOCARGO">TABLAS!$C$2:$C$10</definedName>
    <definedName name="RANGOCARGOSUELDO">TABLAS!$C$2:$D$10</definedName>
    <definedName name="RangoCiudades">TABLAS!$A$2:$A$15</definedName>
    <definedName name="RangoCiudadesyDatos">Pruebas!$A$2:$F$7</definedName>
    <definedName name="RANGODEPENDENCIA">TABLAS!$F$2:$F$14</definedName>
  </definedNames>
  <calcPr calcId="152511"/>
  <pivotCaches>
    <pivotCache cacheId="6" r:id="rId10"/>
  </pivotCaches>
</workbook>
</file>

<file path=xl/calcChain.xml><?xml version="1.0" encoding="utf-8"?>
<calcChain xmlns="http://schemas.openxmlformats.org/spreadsheetml/2006/main">
  <c r="O4" i="4" l="1"/>
  <c r="O5" i="4"/>
  <c r="O6" i="4"/>
  <c r="O3" i="4"/>
  <c r="Q4" i="1"/>
  <c r="Q5" i="1"/>
  <c r="Q6" i="1"/>
  <c r="Q8" i="1"/>
  <c r="Q10" i="1"/>
  <c r="P4" i="1" l="1"/>
  <c r="P5" i="1"/>
  <c r="P8" i="1"/>
  <c r="P11" i="1"/>
  <c r="P12" i="1"/>
  <c r="O3" i="1"/>
  <c r="O4" i="1"/>
  <c r="O6" i="1"/>
  <c r="O8" i="1"/>
  <c r="O9" i="1"/>
  <c r="O11" i="1"/>
  <c r="D12" i="1" l="1"/>
  <c r="J12" i="1"/>
  <c r="D11" i="1"/>
  <c r="J11" i="1"/>
  <c r="R11" i="1" s="1"/>
  <c r="D10" i="1"/>
  <c r="J10" i="1"/>
  <c r="R10" i="1" s="1"/>
  <c r="Q12" i="1" l="1"/>
  <c r="R12" i="1"/>
  <c r="N11" i="1"/>
  <c r="Q11" i="1"/>
  <c r="P10" i="1"/>
  <c r="O10" i="1"/>
  <c r="N10" i="1"/>
  <c r="N12" i="1"/>
  <c r="O12" i="1"/>
  <c r="J4" i="4"/>
  <c r="K4" i="4" s="1"/>
  <c r="J5" i="4"/>
  <c r="K5" i="4" s="1"/>
  <c r="J6" i="4"/>
  <c r="K6" i="4" s="1"/>
  <c r="J7" i="4"/>
  <c r="K7" i="4" s="1"/>
  <c r="E10" i="6"/>
  <c r="E9" i="6"/>
  <c r="E8" i="6"/>
  <c r="E6" i="6"/>
  <c r="E5" i="6"/>
  <c r="E4" i="6"/>
  <c r="E3" i="6"/>
  <c r="B5" i="6"/>
  <c r="B4" i="6"/>
  <c r="B3" i="6"/>
  <c r="B2" i="6"/>
  <c r="J3" i="1"/>
  <c r="J4" i="1"/>
  <c r="J5" i="1"/>
  <c r="R5" i="1" s="1"/>
  <c r="J6" i="1"/>
  <c r="R6" i="1" s="1"/>
  <c r="J7" i="1"/>
  <c r="J8" i="1"/>
  <c r="J9" i="1"/>
  <c r="J2" i="1"/>
  <c r="D2" i="1"/>
  <c r="N8" i="1" l="1"/>
  <c r="R8" i="1"/>
  <c r="R2" i="1"/>
  <c r="O2" i="1"/>
  <c r="Q9" i="1"/>
  <c r="R9" i="1"/>
  <c r="N4" i="1"/>
  <c r="R4" i="1"/>
  <c r="Q7" i="1"/>
  <c r="R7" i="1"/>
  <c r="Q3" i="1"/>
  <c r="R3" i="1"/>
  <c r="Q2" i="1"/>
  <c r="P2" i="1"/>
  <c r="N2" i="1"/>
  <c r="N9" i="1"/>
  <c r="P9" i="1"/>
  <c r="O5" i="1"/>
  <c r="N5" i="1"/>
  <c r="E7" i="6"/>
  <c r="P7" i="1"/>
  <c r="N7" i="1"/>
  <c r="O7" i="1"/>
  <c r="P3" i="1"/>
  <c r="N3" i="1"/>
  <c r="P6" i="1"/>
  <c r="N6" i="1"/>
  <c r="D9" i="1"/>
  <c r="D8" i="1"/>
  <c r="D7" i="1"/>
  <c r="C4" i="4" l="1"/>
  <c r="C3" i="4"/>
  <c r="C2" i="4"/>
  <c r="D3" i="1"/>
  <c r="E2" i="6" s="1"/>
  <c r="D4" i="1"/>
  <c r="D5" i="1"/>
  <c r="D6" i="1"/>
</calcChain>
</file>

<file path=xl/sharedStrings.xml><?xml version="1.0" encoding="utf-8"?>
<sst xmlns="http://schemas.openxmlformats.org/spreadsheetml/2006/main" count="234" uniqueCount="153">
  <si>
    <t>CEDULA</t>
  </si>
  <si>
    <t>NOMBRES</t>
  </si>
  <si>
    <t>APELLIDOS</t>
  </si>
  <si>
    <t>DIRECCION</t>
  </si>
  <si>
    <t>CIUDAD</t>
  </si>
  <si>
    <t>TELEFONO</t>
  </si>
  <si>
    <t>GENERO</t>
  </si>
  <si>
    <t>CARGO</t>
  </si>
  <si>
    <t>DEPENDENCIA</t>
  </si>
  <si>
    <t>JUAN CARLOS</t>
  </si>
  <si>
    <t>CASTRO CARDONA</t>
  </si>
  <si>
    <t>CALLE 20 23-86</t>
  </si>
  <si>
    <t>PEREIRA</t>
  </si>
  <si>
    <t>M</t>
  </si>
  <si>
    <t>ALMACEN GENERAL</t>
  </si>
  <si>
    <t>ADRIANA</t>
  </si>
  <si>
    <t>OSORIO JIMENEZ</t>
  </si>
  <si>
    <t>CRA 15 20-36</t>
  </si>
  <si>
    <t>DOSQUEBRADAS</t>
  </si>
  <si>
    <t>314 456 9852</t>
  </si>
  <si>
    <t>F</t>
  </si>
  <si>
    <t>CONTABILIDAD</t>
  </si>
  <si>
    <t>ANGELA MARIA</t>
  </si>
  <si>
    <t>AGUIRRE LOPEZ</t>
  </si>
  <si>
    <t>CALLE 4 8-69</t>
  </si>
  <si>
    <t>NOMINA</t>
  </si>
  <si>
    <t>SINDICATO</t>
  </si>
  <si>
    <t>CORPORACION EMP</t>
  </si>
  <si>
    <t>S</t>
  </si>
  <si>
    <t>N</t>
  </si>
  <si>
    <t>CIUDADES</t>
  </si>
  <si>
    <t>MANIZALES</t>
  </si>
  <si>
    <t>ARMENIA</t>
  </si>
  <si>
    <t>CARTAGO</t>
  </si>
  <si>
    <t>SANTA ROSA</t>
  </si>
  <si>
    <t>LA VIRGINA</t>
  </si>
  <si>
    <t>CALI</t>
  </si>
  <si>
    <t>SUELDO</t>
  </si>
  <si>
    <t>DEPENDENCIAS</t>
  </si>
  <si>
    <t>CONTADOR</t>
  </si>
  <si>
    <t>AUX. CONTABLE</t>
  </si>
  <si>
    <t>AUX. ADMINISTATIVA</t>
  </si>
  <si>
    <t>GERENTE</t>
  </si>
  <si>
    <t>JEFE DE TALENTO HUMANO</t>
  </si>
  <si>
    <t>JEFE DE PRODUCCIÓN</t>
  </si>
  <si>
    <t>GERENCIA</t>
  </si>
  <si>
    <t>FINANZAS</t>
  </si>
  <si>
    <t>ADMINISTATIVA</t>
  </si>
  <si>
    <t>PRODUCCIÓN</t>
  </si>
  <si>
    <t>TESORERIA</t>
  </si>
  <si>
    <t>DAVID</t>
  </si>
  <si>
    <t>GARCIA SALAZAR</t>
  </si>
  <si>
    <t>CRA 45 89-63</t>
  </si>
  <si>
    <t>JUAN PABLO</t>
  </si>
  <si>
    <t>OROZCO HURTADO</t>
  </si>
  <si>
    <t xml:space="preserve">CALLE 20 56-36 </t>
  </si>
  <si>
    <t>314 589 9632</t>
  </si>
  <si>
    <t>PLANTA 1</t>
  </si>
  <si>
    <t>PLANTA 2</t>
  </si>
  <si>
    <t>NombresyApellidos</t>
  </si>
  <si>
    <t>Pereira</t>
  </si>
  <si>
    <t>Risaralda</t>
  </si>
  <si>
    <t>Cali</t>
  </si>
  <si>
    <t>Valle</t>
  </si>
  <si>
    <t>Armenia</t>
  </si>
  <si>
    <t>Quindio</t>
  </si>
  <si>
    <t>DEPTO</t>
  </si>
  <si>
    <t>Ciudad y Dpto</t>
  </si>
  <si>
    <t>s</t>
  </si>
  <si>
    <t>n</t>
  </si>
  <si>
    <t>ORLANDO</t>
  </si>
  <si>
    <t>ARIAS RAMIREZ</t>
  </si>
  <si>
    <t>Cra 15 20-56 B.jardin</t>
  </si>
  <si>
    <t>m</t>
  </si>
  <si>
    <t>PROFESIONAL</t>
  </si>
  <si>
    <t>MARTHA</t>
  </si>
  <si>
    <t>RIOS OSPINA</t>
  </si>
  <si>
    <t>Urb La Esmeralda Cs 10 mz 20</t>
  </si>
  <si>
    <t>f</t>
  </si>
  <si>
    <t>Ivan Alexander</t>
  </si>
  <si>
    <t>Londoño Orozco</t>
  </si>
  <si>
    <t>Cra 10 23-89</t>
  </si>
  <si>
    <t>Reglas de negocio - Condiciones</t>
  </si>
  <si>
    <t>Poblacion</t>
  </si>
  <si>
    <t>Cultivo</t>
  </si>
  <si>
    <t>Altura</t>
  </si>
  <si>
    <t>Café, Plátano</t>
  </si>
  <si>
    <t>Caña, Uva</t>
  </si>
  <si>
    <t xml:space="preserve">Café </t>
  </si>
  <si>
    <t>1.100 mt</t>
  </si>
  <si>
    <t>1.300 mt</t>
  </si>
  <si>
    <t>1.200 mt</t>
  </si>
  <si>
    <t>Consultar Ciudad:</t>
  </si>
  <si>
    <t>Departamento:</t>
  </si>
  <si>
    <t>Población:</t>
  </si>
  <si>
    <t>Cultivos:</t>
  </si>
  <si>
    <t>Altura snm:</t>
  </si>
  <si>
    <t>cali</t>
  </si>
  <si>
    <t>Consultar Empleado por Identificación:</t>
  </si>
  <si>
    <t>Nombres y Apellidos</t>
  </si>
  <si>
    <t>Dirección:</t>
  </si>
  <si>
    <t>Ciudad:</t>
  </si>
  <si>
    <t>Cargo:</t>
  </si>
  <si>
    <t>Sueldo:</t>
  </si>
  <si>
    <t>Teléfono:</t>
  </si>
  <si>
    <t>Pertenece SINDICATO:</t>
  </si>
  <si>
    <t>Pertenence CORP EMP:</t>
  </si>
  <si>
    <t>Dependencia:</t>
  </si>
  <si>
    <t>PRECIO</t>
  </si>
  <si>
    <t>Valor Iva</t>
  </si>
  <si>
    <t>Total</t>
  </si>
  <si>
    <t>Iva</t>
  </si>
  <si>
    <t>Natalia</t>
  </si>
  <si>
    <t>Hurtado Londoño</t>
  </si>
  <si>
    <t>Cra 5 22-36</t>
  </si>
  <si>
    <t>Juan Plablo</t>
  </si>
  <si>
    <t>Galeano Garcia</t>
  </si>
  <si>
    <t>Mz 10 cs 4 B Porvenir</t>
  </si>
  <si>
    <t>Alexander</t>
  </si>
  <si>
    <t>Santacruz Ortiz</t>
  </si>
  <si>
    <t>Mz 10 cs 20 B Porvenir</t>
  </si>
  <si>
    <t>Sueldo</t>
  </si>
  <si>
    <t>%Ret</t>
  </si>
  <si>
    <t>0-1.600.000</t>
  </si>
  <si>
    <t>1.600.001 - 3.000.000</t>
  </si>
  <si>
    <t>superiores a 3.000.000</t>
  </si>
  <si>
    <t>Calculo de Retencion según sueldo</t>
  </si>
  <si>
    <t>SERVICIOS GENERALES</t>
  </si>
  <si>
    <t>Los empleados que pertenecen al sindicato  y tienen cargo SERVICIOS GENERALES deben hacer un aporte de 5.000 de lo contrario el aporte será del 1% del sueldo</t>
  </si>
  <si>
    <t>Los empleados afiliados a las CORPORACION deben hacer un aporte de 10.000 si el sueldo es inferior o igual a 2.500.000, de lo contrario pagaran 15.000</t>
  </si>
  <si>
    <t>RETENCION</t>
  </si>
  <si>
    <t>APORTE SINDIC</t>
  </si>
  <si>
    <t>APORTE CORP</t>
  </si>
  <si>
    <t>AUX TRANSP</t>
  </si>
  <si>
    <t>ESTRATO</t>
  </si>
  <si>
    <t>VALOR CIAL</t>
  </si>
  <si>
    <t>ALTO</t>
  </si>
  <si>
    <t>BAJO</t>
  </si>
  <si>
    <t>Los empleados que viven fuera de PEREIRA O ganan menos de 2,800,000 tienen un Auxilo de Transporte de 30.000</t>
  </si>
  <si>
    <t>AuxTrans2</t>
  </si>
  <si>
    <t>Si el estrato es ALTO y el valor comercial es superior a 80,000000 pagará el 2% de valorizacion</t>
  </si>
  <si>
    <t>Impuesto F1</t>
  </si>
  <si>
    <t>Impuesto F2</t>
  </si>
  <si>
    <t>Cuantos hombres y mujeres hay. Cuanto suma su auxilio de transporte</t>
  </si>
  <si>
    <t>Etiquetas de fila</t>
  </si>
  <si>
    <t>Total general</t>
  </si>
  <si>
    <t>(Todas)</t>
  </si>
  <si>
    <t>Total AUX TRANSP</t>
  </si>
  <si>
    <t>Num Registros por GENERO</t>
  </si>
  <si>
    <t>Cuantos empleados hay por ciudad y por genero</t>
  </si>
  <si>
    <t>Cuanto suman los sueldos por cargo y cuantos empleados hay por cada cargo</t>
  </si>
  <si>
    <t>Cuanto suman los aportes del Sindicato y de la Corporacion de empleados. Cuantos empleados hay afiliados en el sindicato y en la corporacion</t>
  </si>
  <si>
    <t>Cuenta de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</si>
</sst>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/>
    <xf numFmtId="0" fontId="0" fillId="3" borderId="2" xfId="0" applyFill="1" applyBorder="1"/>
    <xf numFmtId="0" fontId="0" fillId="3" borderId="3" xfId="0" applyFill="1" applyBorder="1"/>
    <xf numFmtId="164" fontId="0" fillId="0" borderId="1" xfId="1" applyNumberFormat="1" applyFont="1" applyBorder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/>
    <xf numFmtId="0" fontId="0" fillId="3" borderId="0" xfId="0" applyFill="1" applyAlignment="1">
      <alignment horizontal="right" wrapText="1"/>
    </xf>
    <xf numFmtId="0" fontId="4" fillId="0" borderId="0" xfId="0" applyFont="1" applyAlignment="1">
      <alignment horizontal="center"/>
    </xf>
    <xf numFmtId="0" fontId="0" fillId="3" borderId="0" xfId="0" applyFill="1" applyBorder="1"/>
    <xf numFmtId="0" fontId="0" fillId="0" borderId="1" xfId="0" applyBorder="1" applyAlignment="1">
      <alignment horizontal="center"/>
    </xf>
    <xf numFmtId="0" fontId="0" fillId="5" borderId="1" xfId="0" applyFill="1" applyBorder="1"/>
    <xf numFmtId="43" fontId="1" fillId="2" borderId="2" xfId="1" applyFont="1" applyFill="1" applyBorder="1"/>
    <xf numFmtId="43" fontId="0" fillId="0" borderId="0" xfId="1" applyFont="1"/>
    <xf numFmtId="164" fontId="1" fillId="2" borderId="2" xfId="1" applyNumberFormat="1" applyFont="1" applyFill="1" applyBorder="1"/>
    <xf numFmtId="0" fontId="0" fillId="0" borderId="0" xfId="0" applyAlignment="1">
      <alignment horizontal="left"/>
    </xf>
    <xf numFmtId="0" fontId="0" fillId="6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2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pivotButton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left" indent="1"/>
    </xf>
  </cellXfs>
  <cellStyles count="2">
    <cellStyle name="Millares" xfId="1" builtinId="3"/>
    <cellStyle name="Normal" xfId="0" builtinId="0"/>
  </cellStyles>
  <dxfs count="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0" tint="-0.34998626667073579"/>
        </patternFill>
      </fill>
    </dxf>
    <dxf>
      <font>
        <color rgb="FFC00000"/>
      </font>
    </dxf>
    <dxf>
      <font>
        <color rgb="FFC00000"/>
      </font>
    </dxf>
    <dxf>
      <font>
        <color theme="0"/>
      </font>
      <fill>
        <patternFill>
          <bgColor theme="3" tint="-0.24994659260841701"/>
        </patternFill>
      </fill>
    </dxf>
    <dxf>
      <font>
        <color theme="2" tint="-0.89996032593768116"/>
      </font>
      <fill>
        <patternFill>
          <bgColor theme="5" tint="0.79998168889431442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 NOMINA EMPLEADOS.xlsx]Graf AuxTransxGen!Tabla 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Auxilio de Transporte por 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AuxTransxGen'!$B$3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 AuxTransxGen'!$A$4:$A$6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'Graf AuxTransxGen'!$B$4:$B$6</c:f>
              <c:numCache>
                <c:formatCode>_(* #,##0_);_(* \(#,##0\);_(* "-"??_);_(@_)</c:formatCode>
                <c:ptCount val="2"/>
                <c:pt idx="0">
                  <c:v>120000</c:v>
                </c:pt>
                <c:pt idx="1">
                  <c:v>180000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3030424"/>
        <c:axId val="133030816"/>
      </c:barChart>
      <c:catAx>
        <c:axId val="13303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Género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030816"/>
        <c:crosses val="autoZero"/>
        <c:auto val="1"/>
        <c:lblAlgn val="ctr"/>
        <c:lblOffset val="100"/>
        <c:noMultiLvlLbl val="0"/>
      </c:catAx>
      <c:valAx>
        <c:axId val="1330308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crossAx val="1330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 NOMINA EMPLEADOS.xlsx]Graf AuxTransxGen!Tabla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 de registros por género</a:t>
            </a:r>
          </a:p>
        </c:rich>
      </c:tx>
      <c:layout>
        <c:manualLayout>
          <c:xMode val="edge"/>
          <c:yMode val="edge"/>
          <c:x val="5.9242938669363573E-2"/>
          <c:y val="0.13400661355791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'Graf AuxTransxGen'!$B$9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AuxTransxGen'!$A$10:$A$12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'Graf AuxTransxGen'!$B$10:$B$12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 NOMINA EMPLEADOS.xlsx]Hoja3!Tabla 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 de empleados por Genero y Ciudad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Hoja3!$A$4:$A$11</c:f>
              <c:multiLvlStrCache>
                <c:ptCount val="4"/>
                <c:lvl>
                  <c:pt idx="0">
                    <c:v>F</c:v>
                  </c:pt>
                  <c:pt idx="1">
                    <c:v>F</c:v>
                  </c:pt>
                  <c:pt idx="2">
                    <c:v>M</c:v>
                  </c:pt>
                  <c:pt idx="3">
                    <c:v>M</c:v>
                  </c:pt>
                </c:lvl>
                <c:lvl>
                  <c:pt idx="0">
                    <c:v>DOSQUEBRADAS</c:v>
                  </c:pt>
                  <c:pt idx="1">
                    <c:v>PEREIRA</c:v>
                  </c:pt>
                  <c:pt idx="3">
                    <c:v>SANTA ROSA</c:v>
                  </c:pt>
                </c:lvl>
              </c:multiLvlStrCache>
            </c:multiLvlStrRef>
          </c:cat>
          <c:val>
            <c:numRef>
              <c:f>Hoja3!$B$4:$B$11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8648904"/>
        <c:axId val="588646552"/>
      </c:barChart>
      <c:catAx>
        <c:axId val="588648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Ciudades y Género</a:t>
                </a:r>
              </a:p>
            </c:rich>
          </c:tx>
          <c:layout>
            <c:manualLayout>
              <c:xMode val="edge"/>
              <c:yMode val="edge"/>
              <c:x val="0.37421598590807126"/>
              <c:y val="0.84266404199475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8646552"/>
        <c:crosses val="autoZero"/>
        <c:auto val="1"/>
        <c:lblAlgn val="ctr"/>
        <c:lblOffset val="100"/>
        <c:noMultiLvlLbl val="0"/>
      </c:catAx>
      <c:valAx>
        <c:axId val="588646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58864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0</xdr:row>
      <xdr:rowOff>33336</xdr:rowOff>
    </xdr:from>
    <xdr:to>
      <xdr:col>9</xdr:col>
      <xdr:colOff>514350</xdr:colOff>
      <xdr:row>19</xdr:row>
      <xdr:rowOff>95249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857250</xdr:colOff>
      <xdr:row>20</xdr:row>
      <xdr:rowOff>90487</xdr:rowOff>
    </xdr:from>
    <xdr:to>
      <xdr:col>8</xdr:col>
      <xdr:colOff>0</xdr:colOff>
      <xdr:row>33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6</xdr:row>
      <xdr:rowOff>14287</xdr:rowOff>
    </xdr:from>
    <xdr:to>
      <xdr:col>7</xdr:col>
      <xdr:colOff>514350</xdr:colOff>
      <xdr:row>20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2255.555865277776" createdVersion="5" refreshedVersion="5" minRefreshableVersion="3" recordCount="11">
  <cacheSource type="worksheet">
    <worksheetSource name="TblEmpleados"/>
  </cacheSource>
  <cacheFields count="18">
    <cacheField name="CEDULA" numFmtId="0">
      <sharedItems containsSemiMixedTypes="0" containsString="0" containsNumber="1" containsInteger="1" minValue="100" maxValue="1100"/>
    </cacheField>
    <cacheField name="NOMBRES" numFmtId="0">
      <sharedItems/>
    </cacheField>
    <cacheField name="APELLIDOS" numFmtId="0">
      <sharedItems/>
    </cacheField>
    <cacheField name="NombresyApellidos" numFmtId="0">
      <sharedItems/>
    </cacheField>
    <cacheField name="DIRECCION" numFmtId="0">
      <sharedItems/>
    </cacheField>
    <cacheField name="CIUDAD" numFmtId="0">
      <sharedItems count="3">
        <s v="PEREIRA"/>
        <s v="DOSQUEBRADAS"/>
        <s v="SANTA ROSA"/>
      </sharedItems>
    </cacheField>
    <cacheField name="TELEFONO" numFmtId="0">
      <sharedItems containsMixedTypes="1" containsNumber="1" containsInteger="1" minValue="2365898" maxValue="3238966657"/>
    </cacheField>
    <cacheField name="GENERO" numFmtId="0">
      <sharedItems count="2">
        <s v="M"/>
        <s v="F"/>
      </sharedItems>
    </cacheField>
    <cacheField name="CARGO" numFmtId="0">
      <sharedItems count="5">
        <s v="GERENTE"/>
        <s v="JEFE DE PRODUCCIÓN"/>
        <s v="AUX. CONTABLE"/>
        <s v="PROFESIONAL"/>
        <s v="AUX. ADMINISTATIVA"/>
      </sharedItems>
    </cacheField>
    <cacheField name="SUELDO" numFmtId="164">
      <sharedItems containsSemiMixedTypes="0" containsString="0" containsNumber="1" containsInteger="1" minValue="800000" maxValue="3000000"/>
    </cacheField>
    <cacheField name="DEPENDENCIA" numFmtId="0">
      <sharedItems/>
    </cacheField>
    <cacheField name="SINDICATO" numFmtId="0">
      <sharedItems/>
    </cacheField>
    <cacheField name="CORPORACION EMP" numFmtId="0">
      <sharedItems/>
    </cacheField>
    <cacheField name="RETENCION" numFmtId="164">
      <sharedItems containsSemiMixedTypes="0" containsString="0" containsNumber="1" containsInteger="1" minValue="0" maxValue="30000"/>
    </cacheField>
    <cacheField name="APORTE SINDIC" numFmtId="164">
      <sharedItems containsSemiMixedTypes="0" containsString="0" containsNumber="1" containsInteger="1" minValue="0" maxValue="30000"/>
    </cacheField>
    <cacheField name="APORTE CORP" numFmtId="164">
      <sharedItems containsSemiMixedTypes="0" containsString="0" containsNumber="1" containsInteger="1" minValue="0" maxValue="15000"/>
    </cacheField>
    <cacheField name="AUX TRANSP" numFmtId="43">
      <sharedItems containsSemiMixedTypes="0" containsString="0" containsNumber="1" containsInteger="1" minValue="0" maxValue="30000"/>
    </cacheField>
    <cacheField name="AuxTrans2" numFmtId="164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00"/>
    <s v="JUAN CARLOS"/>
    <s v="CASTRO CARDONA"/>
    <s v="JUAN CARLOS CASTRO CARDONA"/>
    <s v="CALLE 20 23-86"/>
    <x v="0"/>
    <n v="3236589"/>
    <x v="0"/>
    <x v="0"/>
    <n v="3000000"/>
    <s v="ALMACEN GENERAL"/>
    <s v="S"/>
    <s v="S"/>
    <n v="30000"/>
    <n v="30000"/>
    <n v="15000"/>
    <n v="0"/>
    <n v="0"/>
  </r>
  <r>
    <n v="200"/>
    <s v="ADRIANA"/>
    <s v="OSORIO JIMENEZ"/>
    <s v="ADRIANA OSORIO JIMENEZ"/>
    <s v="CRA 15 20-36"/>
    <x v="0"/>
    <s v="314 456 9852"/>
    <x v="1"/>
    <x v="1"/>
    <n v="2600000"/>
    <s v="CONTABILIDAD"/>
    <s v="N"/>
    <s v="S"/>
    <n v="26000"/>
    <n v="0"/>
    <n v="15000"/>
    <n v="30000"/>
    <n v="30000"/>
  </r>
  <r>
    <n v="300"/>
    <s v="ANGELA MARIA"/>
    <s v="AGUIRRE LOPEZ"/>
    <s v="ANGELA MARIA AGUIRRE LOPEZ"/>
    <s v="CALLE 4 8-69"/>
    <x v="1"/>
    <n v="36985214"/>
    <x v="1"/>
    <x v="0"/>
    <n v="3000000"/>
    <s v="PLANTA 2"/>
    <s v="N"/>
    <s v="N"/>
    <n v="30000"/>
    <n v="0"/>
    <n v="0"/>
    <n v="30000"/>
    <n v="30000"/>
  </r>
  <r>
    <n v="400"/>
    <s v="DAVID"/>
    <s v="GARCIA SALAZAR"/>
    <s v="DAVID GARCIA SALAZAR"/>
    <s v="CRA 45 89-63"/>
    <x v="2"/>
    <n v="5698523"/>
    <x v="0"/>
    <x v="2"/>
    <n v="800000"/>
    <s v="NOMINA"/>
    <s v="S"/>
    <s v="N"/>
    <n v="0"/>
    <n v="8000"/>
    <n v="0"/>
    <n v="30000"/>
    <n v="30000"/>
  </r>
  <r>
    <n v="500"/>
    <s v="JUAN PABLO"/>
    <s v="OROZCO HURTADO"/>
    <s v="JUAN PABLO OROZCO HURTADO"/>
    <s v="CALLE 20 56-36 "/>
    <x v="2"/>
    <s v="314 589 9632"/>
    <x v="0"/>
    <x v="1"/>
    <n v="2600000"/>
    <s v="PLANTA 1"/>
    <s v="N"/>
    <s v="S"/>
    <n v="26000"/>
    <n v="0"/>
    <n v="15000"/>
    <n v="30000"/>
    <n v="30000"/>
  </r>
  <r>
    <n v="600"/>
    <s v="ORLANDO"/>
    <s v="ARIAS RAMIREZ"/>
    <s v="ORLANDO ARIAS RAMIREZ"/>
    <s v="Cra 15 20-56 B.jardin"/>
    <x v="0"/>
    <n v="3239854"/>
    <x v="0"/>
    <x v="3"/>
    <n v="1800000"/>
    <s v="CONTABILIDAD"/>
    <s v="S"/>
    <s v="S"/>
    <n v="18000"/>
    <n v="18000"/>
    <n v="10000"/>
    <n v="30000"/>
    <n v="30000"/>
  </r>
  <r>
    <n v="700"/>
    <s v="MARTHA"/>
    <s v="RIOS OSPINA"/>
    <s v="MARTHA RIOS OSPINA"/>
    <s v="Urb La Esmeralda Cs 10 mz 20"/>
    <x v="1"/>
    <n v="3238966657"/>
    <x v="1"/>
    <x v="2"/>
    <n v="800000"/>
    <s v="ALMACEN GENERAL"/>
    <s v="N"/>
    <s v="N"/>
    <n v="0"/>
    <n v="0"/>
    <n v="0"/>
    <n v="30000"/>
    <n v="30000"/>
  </r>
  <r>
    <n v="800"/>
    <s v="Ivan Alexander"/>
    <s v="Londoño Orozco"/>
    <s v="Ivan Alexander Londoño Orozco"/>
    <s v="Cra 10 23-89"/>
    <x v="0"/>
    <n v="3106297785"/>
    <x v="0"/>
    <x v="3"/>
    <n v="1800000"/>
    <s v="CONTABILIDAD"/>
    <s v="N"/>
    <s v="S"/>
    <n v="18000"/>
    <n v="0"/>
    <n v="10000"/>
    <n v="30000"/>
    <n v="30000"/>
  </r>
  <r>
    <n v="900"/>
    <s v="Natalia"/>
    <s v="Hurtado Londoño"/>
    <s v="Natalia Hurtado Londoño"/>
    <s v="Cra 5 22-36"/>
    <x v="1"/>
    <n v="2365898"/>
    <x v="1"/>
    <x v="4"/>
    <n v="800000"/>
    <s v="PRODUCCIÓN"/>
    <s v="S"/>
    <s v="S"/>
    <n v="0"/>
    <n v="8000"/>
    <n v="10000"/>
    <n v="30000"/>
    <n v="30000"/>
  </r>
  <r>
    <n v="1000"/>
    <s v="Juan Plablo"/>
    <s v="Galeano Garcia"/>
    <s v="Juan Plablo Galeano Garcia"/>
    <s v="Mz 10 cs 4 B Porvenir"/>
    <x v="0"/>
    <n v="3147896635"/>
    <x v="0"/>
    <x v="3"/>
    <n v="1800000"/>
    <s v="CONTABILIDAD"/>
    <s v="N"/>
    <s v="N"/>
    <n v="18000"/>
    <n v="0"/>
    <n v="0"/>
    <n v="30000"/>
    <n v="30000"/>
  </r>
  <r>
    <n v="1100"/>
    <s v="Alexander"/>
    <s v="Santacruz Ortiz"/>
    <s v="Alexander Santacruz Ortiz"/>
    <s v="Mz 10 cs 20 B Porvenir"/>
    <x v="0"/>
    <n v="3147859968"/>
    <x v="0"/>
    <x v="3"/>
    <n v="1800000"/>
    <s v="ALMACEN GENERAL"/>
    <s v="S"/>
    <s v="N"/>
    <n v="18000"/>
    <n v="18000"/>
    <n v="0"/>
    <n v="30000"/>
    <n v="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>
  <location ref="A9:B12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numFmtId="164" showAll="0"/>
    <pivotField showAll="0"/>
    <pivotField showAll="0"/>
    <pivotField showAll="0"/>
    <pivotField numFmtId="164" showAll="0"/>
    <pivotField numFmtId="164" showAll="0"/>
    <pivotField numFmtId="164" showAll="0"/>
    <pivotField numFmtId="43" showAll="0"/>
    <pivotField numFmtId="164"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Num Registros por GENERO" fld="7" subtotal="count" baseField="7" baseItem="0"/>
  </dataFields>
  <formats count="2">
    <format dxfId="3">
      <pivotArea collapsedLevelsAreSubtotals="1" fieldPosition="0">
        <references count="1">
          <reference field="7" count="0"/>
        </references>
      </pivotArea>
    </format>
    <format dxfId="2">
      <pivotArea dataOnly="0" labelOnly="1" fieldPosition="0">
        <references count="1">
          <reference field="7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6" firstHeaderRow="1" firstDataRow="1" firstDataCol="1" rowPageCount="1" colPageCount="1"/>
  <pivotFields count="18">
    <pivotField showAll="0"/>
    <pivotField showAll="0"/>
    <pivotField showAll="0"/>
    <pivotField showAll="0"/>
    <pivotField showAll="0"/>
    <pivotField axis="axisPage" multipleItemSelectionAllowed="1" showAll="0">
      <items count="4">
        <item x="1"/>
        <item x="0"/>
        <item x="2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numFmtId="164"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43" showAll="0"/>
    <pivotField numFmtId="164" showAll="0"/>
  </pivotFields>
  <rowFields count="1">
    <field x="7"/>
  </rowFields>
  <rowItems count="3">
    <i>
      <x/>
    </i>
    <i>
      <x v="1"/>
    </i>
    <i t="grand">
      <x/>
    </i>
  </rowItems>
  <colItems count="1">
    <i/>
  </colItems>
  <pageFields count="1">
    <pageField fld="5" hier="-1"/>
  </pageFields>
  <dataFields count="1">
    <dataField name="Total AUX TRANSP" fld="16" baseField="0" baseItem="0"/>
  </dataFields>
  <formats count="4">
    <format dxfId="24">
      <pivotArea collapsedLevelsAreSubtotals="1" fieldPosition="0">
        <references count="1">
          <reference field="7" count="0"/>
        </references>
      </pivotArea>
    </format>
    <format dxfId="21">
      <pivotArea grandRow="1" outline="0" collapsedLevelsAreSubtotals="1" fieldPosition="0"/>
    </format>
    <format dxfId="1">
      <pivotArea collapsedLevelsAreSubtotals="1" fieldPosition="0">
        <references count="1">
          <reference field="7" count="0"/>
        </references>
      </pivotArea>
    </format>
    <format dxfId="0">
      <pivotArea dataOnly="0" labelOnly="1" fieldPosition="0">
        <references count="1">
          <reference field="7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3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11" firstHeaderRow="1" firstDataRow="1" firstDataCol="1" rowPageCount="1" colPageCount="1"/>
  <pivotFields count="18"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6">
        <item x="4"/>
        <item x="2"/>
        <item x="0"/>
        <item x="1"/>
        <item x="3"/>
        <item t="default"/>
      </items>
    </pivotField>
    <pivotField numFmtId="164" showAll="0"/>
    <pivotField showAll="0"/>
    <pivotField showAll="0"/>
    <pivotField showAll="0"/>
    <pivotField numFmtId="164" showAll="0"/>
    <pivotField numFmtId="164" showAll="0"/>
    <pivotField numFmtId="164" showAll="0"/>
    <pivotField numFmtId="43" showAll="0"/>
    <pivotField numFmtId="164" showAll="0"/>
  </pivotFields>
  <rowFields count="2">
    <field x="5"/>
    <field x="7"/>
  </rowFields>
  <rowItems count="8">
    <i>
      <x/>
    </i>
    <i r="1">
      <x/>
    </i>
    <i>
      <x v="1"/>
    </i>
    <i r="1">
      <x/>
    </i>
    <i r="1">
      <x v="1"/>
    </i>
    <i>
      <x v="2"/>
    </i>
    <i r="1">
      <x v="1"/>
    </i>
    <i t="grand">
      <x/>
    </i>
  </rowItems>
  <colItems count="1">
    <i/>
  </colItems>
  <pageFields count="1">
    <pageField fld="8" hier="-1"/>
  </pageFields>
  <dataFields count="1">
    <dataField name="Cuenta de CIUDAD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Empleados" displayName="TblEmpleados" ref="A1:R12" totalsRowShown="0" headerRowDxfId="34">
  <autoFilter ref="A1:R12">
    <filterColumn colId="7">
      <filters>
        <filter val="M"/>
      </filters>
    </filterColumn>
  </autoFilter>
  <tableColumns count="18">
    <tableColumn id="1" name="CEDULA"/>
    <tableColumn id="2" name="NOMBRES"/>
    <tableColumn id="3" name="APELLIDOS"/>
    <tableColumn id="13" name="NombresyApellidos" dataDxfId="33">
      <calculatedColumnFormula>TblEmpleados[[#This Row],[NOMBRES]]&amp;" "&amp;TblEmpleados[[#This Row],[APELLIDOS]]</calculatedColumnFormula>
    </tableColumn>
    <tableColumn id="4" name="DIRECCION" dataDxfId="32"/>
    <tableColumn id="5" name="CIUDAD"/>
    <tableColumn id="6" name="TELEFONO"/>
    <tableColumn id="7" name="GENERO"/>
    <tableColumn id="8" name="CARGO"/>
    <tableColumn id="9" name="SUELDO" dataDxfId="31" dataCellStyle="Millares">
      <calculatedColumnFormula>VLOOKUP(TblEmpleados[[#This Row],[CARGO]],RANGOCARGOSUELDO,2,FALSE)</calculatedColumnFormula>
    </tableColumn>
    <tableColumn id="10" name="DEPENDENCIA"/>
    <tableColumn id="11" name="SINDICATO"/>
    <tableColumn id="12" name="CORPORACION EMP"/>
    <tableColumn id="14" name="RETENCION" dataDxfId="30" dataCellStyle="Millares">
      <calculatedColumnFormula>IF(TblEmpleados[[#This Row],[SUELDO]]&lt;=1600000,0,IF(TblEmpleados[[#This Row],[SUELDO]]&lt;=3000000,TblEmpleados[[#This Row],[SUELDO]]*(1/100),TblEmpleados[[#This Row],[SUELDO]]*(2/100)))</calculatedColumnFormula>
    </tableColumn>
    <tableColumn id="15" name="APORTE SINDIC" dataDxfId="29" dataCellStyle="Millares">
      <calculatedColumnFormula>IF(TblEmpleados[[#This Row],[SINDICATO]]="S",IF(TblEmpleados[[#This Row],[CARGO]]="SERVICIOS GENERALES",5000,TblEmpleados[[#This Row],[SUELDO]]*(1/100)),0)</calculatedColumnFormula>
    </tableColumn>
    <tableColumn id="16" name="APORTE CORP" dataDxfId="28" dataCellStyle="Millares">
      <calculatedColumnFormula>IF(TblEmpleados[[#This Row],[CORPORACION EMP]]="S",IF(TblEmpleados[[#This Row],[SUELDO]]&lt;=2500000,10000,15000),0)</calculatedColumnFormula>
    </tableColumn>
    <tableColumn id="17" name="AUX TRANSP" dataDxfId="27" dataCellStyle="Millares">
      <calculatedColumnFormula>IF(TblEmpleados[[#This Row],[CIUDAD]]&lt;&gt;"PEREIRA",30000,IF(TblEmpleados[[#This Row],[SUELDO]]&lt;=2800000,30000,0))</calculatedColumnFormula>
    </tableColumn>
    <tableColumn id="18" name="AuxTrans2" dataDxfId="26" dataCellStyle="Millares">
      <calculatedColumnFormula>IF(OR(TblEmpleados[[#This Row],[CIUDAD]]&lt;&gt;"Pereira",TblEmpleados[[#This Row],[SUELDO]]&lt;=2800000),30000,0)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H23" sqref="H23"/>
    </sheetView>
  </sheetViews>
  <sheetFormatPr baseColWidth="10" defaultRowHeight="15" x14ac:dyDescent="0.25"/>
  <cols>
    <col min="1" max="1" width="17.5703125" bestFit="1" customWidth="1"/>
    <col min="2" max="2" width="25.42578125" customWidth="1"/>
    <col min="3" max="3" width="18" customWidth="1"/>
  </cols>
  <sheetData>
    <row r="1" spans="1:2" x14ac:dyDescent="0.25">
      <c r="A1" s="29" t="s">
        <v>4</v>
      </c>
      <c r="B1" t="s">
        <v>146</v>
      </c>
    </row>
    <row r="3" spans="1:2" x14ac:dyDescent="0.25">
      <c r="A3" s="29" t="s">
        <v>144</v>
      </c>
      <c r="B3" t="s">
        <v>147</v>
      </c>
    </row>
    <row r="4" spans="1:2" x14ac:dyDescent="0.25">
      <c r="A4" s="31" t="s">
        <v>20</v>
      </c>
      <c r="B4" s="33">
        <v>120000</v>
      </c>
    </row>
    <row r="5" spans="1:2" x14ac:dyDescent="0.25">
      <c r="A5" s="31" t="s">
        <v>13</v>
      </c>
      <c r="B5" s="33">
        <v>180000</v>
      </c>
    </row>
    <row r="6" spans="1:2" x14ac:dyDescent="0.25">
      <c r="A6" s="22" t="s">
        <v>145</v>
      </c>
      <c r="B6" s="30">
        <v>300000</v>
      </c>
    </row>
    <row r="9" spans="1:2" x14ac:dyDescent="0.25">
      <c r="A9" s="29" t="s">
        <v>144</v>
      </c>
      <c r="B9" t="s">
        <v>148</v>
      </c>
    </row>
    <row r="10" spans="1:2" x14ac:dyDescent="0.25">
      <c r="A10" s="31" t="s">
        <v>20</v>
      </c>
      <c r="B10" s="32">
        <v>4</v>
      </c>
    </row>
    <row r="11" spans="1:2" x14ac:dyDescent="0.25">
      <c r="A11" s="31" t="s">
        <v>13</v>
      </c>
      <c r="B11" s="32">
        <v>7</v>
      </c>
    </row>
    <row r="12" spans="1:2" x14ac:dyDescent="0.25">
      <c r="A12" s="22" t="s">
        <v>145</v>
      </c>
      <c r="B12" s="5">
        <v>11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3" sqref="A3"/>
    </sheetView>
  </sheetViews>
  <sheetFormatPr baseColWidth="10" defaultRowHeight="15" x14ac:dyDescent="0.25"/>
  <cols>
    <col min="1" max="2" width="17.5703125" customWidth="1"/>
  </cols>
  <sheetData>
    <row r="1" spans="1:2" x14ac:dyDescent="0.25">
      <c r="A1" s="29" t="s">
        <v>7</v>
      </c>
      <c r="B1" t="s">
        <v>146</v>
      </c>
    </row>
    <row r="3" spans="1:2" x14ac:dyDescent="0.25">
      <c r="A3" s="29" t="s">
        <v>144</v>
      </c>
      <c r="B3" t="s">
        <v>152</v>
      </c>
    </row>
    <row r="4" spans="1:2" x14ac:dyDescent="0.25">
      <c r="A4" s="22" t="s">
        <v>18</v>
      </c>
      <c r="B4" s="5">
        <v>3</v>
      </c>
    </row>
    <row r="5" spans="1:2" x14ac:dyDescent="0.25">
      <c r="A5" s="34" t="s">
        <v>20</v>
      </c>
      <c r="B5" s="5">
        <v>3</v>
      </c>
    </row>
    <row r="6" spans="1:2" x14ac:dyDescent="0.25">
      <c r="A6" s="22" t="s">
        <v>12</v>
      </c>
      <c r="B6" s="5">
        <v>6</v>
      </c>
    </row>
    <row r="7" spans="1:2" x14ac:dyDescent="0.25">
      <c r="A7" s="34" t="s">
        <v>20</v>
      </c>
      <c r="B7" s="5">
        <v>1</v>
      </c>
    </row>
    <row r="8" spans="1:2" x14ac:dyDescent="0.25">
      <c r="A8" s="34" t="s">
        <v>13</v>
      </c>
      <c r="B8" s="5">
        <v>5</v>
      </c>
    </row>
    <row r="9" spans="1:2" x14ac:dyDescent="0.25">
      <c r="A9" s="22" t="s">
        <v>34</v>
      </c>
      <c r="B9" s="5">
        <v>2</v>
      </c>
    </row>
    <row r="10" spans="1:2" x14ac:dyDescent="0.25">
      <c r="A10" s="34" t="s">
        <v>13</v>
      </c>
      <c r="B10" s="5">
        <v>2</v>
      </c>
    </row>
    <row r="11" spans="1:2" x14ac:dyDescent="0.25">
      <c r="A11" s="22" t="s">
        <v>145</v>
      </c>
      <c r="B11" s="5">
        <v>11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12"/>
  <sheetViews>
    <sheetView zoomScale="160" zoomScaleNormal="160" workbookViewId="0">
      <pane ySplit="1" topLeftCell="A2" activePane="bottomLeft" state="frozen"/>
      <selection pane="bottomLeft" activeCell="A2" sqref="A2:A12"/>
    </sheetView>
  </sheetViews>
  <sheetFormatPr baseColWidth="10" defaultRowHeight="15" x14ac:dyDescent="0.25"/>
  <cols>
    <col min="2" max="2" width="14.5703125" bestFit="1" customWidth="1"/>
    <col min="3" max="3" width="20.7109375" customWidth="1"/>
    <col min="4" max="4" width="35" customWidth="1"/>
    <col min="5" max="5" width="19.140625" bestFit="1" customWidth="1"/>
    <col min="6" max="6" width="19" customWidth="1"/>
    <col min="7" max="7" width="12.28515625" customWidth="1"/>
    <col min="9" max="9" width="26.140625" customWidth="1"/>
    <col min="10" max="10" width="14.85546875" customWidth="1"/>
    <col min="11" max="11" width="17.85546875" customWidth="1"/>
    <col min="12" max="12" width="17.140625" customWidth="1"/>
    <col min="13" max="13" width="20.85546875" customWidth="1"/>
    <col min="14" max="14" width="17.140625" style="7" customWidth="1"/>
    <col min="15" max="15" width="16.7109375" style="7" bestFit="1" customWidth="1"/>
    <col min="16" max="16" width="17.5703125" style="7" customWidth="1"/>
    <col min="17" max="17" width="16.7109375" style="20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59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37</v>
      </c>
      <c r="K1" s="1" t="s">
        <v>8</v>
      </c>
      <c r="L1" s="2" t="s">
        <v>26</v>
      </c>
      <c r="M1" s="2" t="s">
        <v>27</v>
      </c>
      <c r="N1" s="21" t="s">
        <v>130</v>
      </c>
      <c r="O1" s="21" t="s">
        <v>131</v>
      </c>
      <c r="P1" s="21" t="s">
        <v>132</v>
      </c>
      <c r="Q1" s="19" t="s">
        <v>133</v>
      </c>
      <c r="R1" s="26" t="s">
        <v>139</v>
      </c>
    </row>
    <row r="2" spans="1:18" x14ac:dyDescent="0.25">
      <c r="A2">
        <v>100</v>
      </c>
      <c r="B2" t="s">
        <v>9</v>
      </c>
      <c r="C2" t="s">
        <v>10</v>
      </c>
      <c r="D2" t="str">
        <f>TblEmpleados[[#This Row],[NOMBRES]]&amp;" "&amp;TblEmpleados[[#This Row],[APELLIDOS]]</f>
        <v>JUAN CARLOS CASTRO CARDONA</v>
      </c>
      <c r="E2" s="6" t="s">
        <v>11</v>
      </c>
      <c r="F2" t="s">
        <v>12</v>
      </c>
      <c r="G2">
        <v>3236589</v>
      </c>
      <c r="H2" t="s">
        <v>13</v>
      </c>
      <c r="I2" t="s">
        <v>42</v>
      </c>
      <c r="J2" s="7">
        <f>VLOOKUP(TblEmpleados[[#This Row],[CARGO]],RANGOCARGOSUELDO,2,FALSE)</f>
        <v>3000000</v>
      </c>
      <c r="K2" t="s">
        <v>14</v>
      </c>
      <c r="L2" t="s">
        <v>28</v>
      </c>
      <c r="M2" t="s">
        <v>28</v>
      </c>
      <c r="N2" s="7">
        <f>IF(TblEmpleados[[#This Row],[SUELDO]]&lt;=1600000,0,IF(TblEmpleados[[#This Row],[SUELDO]]&lt;=3000000,TblEmpleados[[#This Row],[SUELDO]]*(1/100),TblEmpleados[[#This Row],[SUELDO]]*(2/100)))</f>
        <v>30000</v>
      </c>
      <c r="O2" s="7">
        <f>IF(TblEmpleados[[#This Row],[SINDICATO]]="S",IF(TblEmpleados[[#This Row],[CARGO]]="SERVICIOS GENERALES",5000,TblEmpleados[[#This Row],[SUELDO]]*(1/100)),0)</f>
        <v>30000</v>
      </c>
      <c r="P2" s="7">
        <f>IF(TblEmpleados[[#This Row],[CORPORACION EMP]]="S",IF(TblEmpleados[[#This Row],[SUELDO]]&lt;=2500000,10000,15000),0)</f>
        <v>15000</v>
      </c>
      <c r="Q2" s="20">
        <f>IF(TblEmpleados[[#This Row],[CIUDAD]]&lt;&gt;"PEREIRA",30000,IF(TblEmpleados[[#This Row],[SUELDO]]&lt;=2800000,30000,0))</f>
        <v>0</v>
      </c>
      <c r="R2" s="7">
        <f>IF(OR(TblEmpleados[[#This Row],[CIUDAD]]&lt;&gt;"Pereira",TblEmpleados[[#This Row],[SUELDO]]&lt;=2800000),30000,0)</f>
        <v>0</v>
      </c>
    </row>
    <row r="3" spans="1:18" hidden="1" x14ac:dyDescent="0.25">
      <c r="A3">
        <v>200</v>
      </c>
      <c r="B3" t="s">
        <v>15</v>
      </c>
      <c r="C3" t="s">
        <v>16</v>
      </c>
      <c r="D3" t="str">
        <f>TblEmpleados[[#This Row],[NOMBRES]]&amp;" "&amp;TblEmpleados[[#This Row],[APELLIDOS]]</f>
        <v>ADRIANA OSORIO JIMENEZ</v>
      </c>
      <c r="E3" s="6" t="s">
        <v>17</v>
      </c>
      <c r="F3" t="s">
        <v>12</v>
      </c>
      <c r="G3" t="s">
        <v>19</v>
      </c>
      <c r="H3" t="s">
        <v>20</v>
      </c>
      <c r="I3" t="s">
        <v>44</v>
      </c>
      <c r="J3" s="7">
        <f>VLOOKUP(TblEmpleados[[#This Row],[CARGO]],RANGOCARGOSUELDO,2,FALSE)</f>
        <v>2600000</v>
      </c>
      <c r="K3" t="s">
        <v>21</v>
      </c>
      <c r="L3" t="s">
        <v>29</v>
      </c>
      <c r="M3" t="s">
        <v>28</v>
      </c>
      <c r="N3" s="7">
        <f>IF(TblEmpleados[[#This Row],[SUELDO]]&lt;=1600000,0,IF(TblEmpleados[[#This Row],[SUELDO]]&lt;=3000000,TblEmpleados[[#This Row],[SUELDO]]*(1/100),TblEmpleados[[#This Row],[SUELDO]]*(2/100)))</f>
        <v>26000</v>
      </c>
      <c r="O3" s="7">
        <f>IF(TblEmpleados[[#This Row],[SINDICATO]]="S",IF(TblEmpleados[[#This Row],[CARGO]]="SERVICIOS GENERALES",5000,TblEmpleados[[#This Row],[SUELDO]]*(1/100)),0)</f>
        <v>0</v>
      </c>
      <c r="P3" s="7">
        <f>IF(TblEmpleados[[#This Row],[CORPORACION EMP]]="S",IF(TblEmpleados[[#This Row],[SUELDO]]&lt;=2500000,10000,15000),0)</f>
        <v>15000</v>
      </c>
      <c r="Q3" s="20">
        <f>IF(TblEmpleados[[#This Row],[CIUDAD]]&lt;&gt;"PEREIRA",30000,IF(TblEmpleados[[#This Row],[SUELDO]]&lt;=2800000,30000,0))</f>
        <v>30000</v>
      </c>
      <c r="R3" s="7">
        <f>IF(OR(TblEmpleados[[#This Row],[CIUDAD]]&lt;&gt;"Pereira",TblEmpleados[[#This Row],[SUELDO]]&lt;=2800000),30000,0)</f>
        <v>30000</v>
      </c>
    </row>
    <row r="4" spans="1:18" hidden="1" x14ac:dyDescent="0.25">
      <c r="A4">
        <v>300</v>
      </c>
      <c r="B4" t="s">
        <v>22</v>
      </c>
      <c r="C4" t="s">
        <v>23</v>
      </c>
      <c r="D4" t="str">
        <f>TblEmpleados[[#This Row],[NOMBRES]]&amp;" "&amp;TblEmpleados[[#This Row],[APELLIDOS]]</f>
        <v>ANGELA MARIA AGUIRRE LOPEZ</v>
      </c>
      <c r="E4" s="6" t="s">
        <v>24</v>
      </c>
      <c r="F4" t="s">
        <v>18</v>
      </c>
      <c r="G4">
        <v>36985214</v>
      </c>
      <c r="H4" t="s">
        <v>20</v>
      </c>
      <c r="I4" t="s">
        <v>42</v>
      </c>
      <c r="J4" s="7">
        <f>VLOOKUP(TblEmpleados[[#This Row],[CARGO]],RANGOCARGOSUELDO,2,FALSE)</f>
        <v>3000000</v>
      </c>
      <c r="K4" t="s">
        <v>58</v>
      </c>
      <c r="L4" t="s">
        <v>29</v>
      </c>
      <c r="M4" t="s">
        <v>29</v>
      </c>
      <c r="N4" s="7">
        <f>IF(TblEmpleados[[#This Row],[SUELDO]]&lt;=1600000,0,IF(TblEmpleados[[#This Row],[SUELDO]]&lt;=3000000,TblEmpleados[[#This Row],[SUELDO]]*(1/100),TblEmpleados[[#This Row],[SUELDO]]*(2/100)))</f>
        <v>30000</v>
      </c>
      <c r="O4" s="7">
        <f>IF(TblEmpleados[[#This Row],[SINDICATO]]="S",IF(TblEmpleados[[#This Row],[CARGO]]="SERVICIOS GENERALES",5000,TblEmpleados[[#This Row],[SUELDO]]*(1/100)),0)</f>
        <v>0</v>
      </c>
      <c r="P4" s="7">
        <f>IF(TblEmpleados[[#This Row],[CORPORACION EMP]]="S",IF(TblEmpleados[[#This Row],[SUELDO]]&lt;=2500000,10000,15000),0)</f>
        <v>0</v>
      </c>
      <c r="Q4" s="20">
        <f>IF(TblEmpleados[[#This Row],[CIUDAD]]&lt;&gt;"PEREIRA",30000,IF(TblEmpleados[[#This Row],[SUELDO]]&lt;=2800000,30000,0))</f>
        <v>30000</v>
      </c>
      <c r="R4" s="7">
        <f>IF(OR(TblEmpleados[[#This Row],[CIUDAD]]&lt;&gt;"Pereira",TblEmpleados[[#This Row],[SUELDO]]&lt;=2800000),30000,0)</f>
        <v>30000</v>
      </c>
    </row>
    <row r="5" spans="1:18" x14ac:dyDescent="0.25">
      <c r="A5">
        <v>400</v>
      </c>
      <c r="B5" t="s">
        <v>50</v>
      </c>
      <c r="C5" t="s">
        <v>51</v>
      </c>
      <c r="D5" t="str">
        <f>TblEmpleados[[#This Row],[NOMBRES]]&amp;" "&amp;TblEmpleados[[#This Row],[APELLIDOS]]</f>
        <v>DAVID GARCIA SALAZAR</v>
      </c>
      <c r="E5" s="6" t="s">
        <v>52</v>
      </c>
      <c r="F5" t="s">
        <v>34</v>
      </c>
      <c r="G5">
        <v>5698523</v>
      </c>
      <c r="H5" t="s">
        <v>13</v>
      </c>
      <c r="I5" t="s">
        <v>40</v>
      </c>
      <c r="J5" s="7">
        <f>VLOOKUP(TblEmpleados[[#This Row],[CARGO]],RANGOCARGOSUELDO,2,FALSE)</f>
        <v>800000</v>
      </c>
      <c r="K5" t="s">
        <v>25</v>
      </c>
      <c r="L5" t="s">
        <v>68</v>
      </c>
      <c r="M5" t="s">
        <v>29</v>
      </c>
      <c r="N5" s="7">
        <f>IF(TblEmpleados[[#This Row],[SUELDO]]&lt;=1600000,0,IF(TblEmpleados[[#This Row],[SUELDO]]&lt;=3000000,TblEmpleados[[#This Row],[SUELDO]]*(1/100),TblEmpleados[[#This Row],[SUELDO]]*(2/100)))</f>
        <v>0</v>
      </c>
      <c r="O5" s="7">
        <f>IF(TblEmpleados[[#This Row],[SINDICATO]]="S",IF(TblEmpleados[[#This Row],[CARGO]]="SERVICIOS GENERALES",5000,TblEmpleados[[#This Row],[SUELDO]]*(1/100)),0)</f>
        <v>8000</v>
      </c>
      <c r="P5" s="7">
        <f>IF(TblEmpleados[[#This Row],[CORPORACION EMP]]="S",IF(TblEmpleados[[#This Row],[SUELDO]]&lt;=2500000,10000,15000),0)</f>
        <v>0</v>
      </c>
      <c r="Q5" s="20">
        <f>IF(TblEmpleados[[#This Row],[CIUDAD]]&lt;&gt;"PEREIRA",30000,IF(TblEmpleados[[#This Row],[SUELDO]]&lt;=2800000,30000,0))</f>
        <v>30000</v>
      </c>
      <c r="R5" s="7">
        <f>IF(OR(TblEmpleados[[#This Row],[CIUDAD]]&lt;&gt;"Pereira",TblEmpleados[[#This Row],[SUELDO]]&lt;=2800000),30000,0)</f>
        <v>30000</v>
      </c>
    </row>
    <row r="6" spans="1:18" x14ac:dyDescent="0.25">
      <c r="A6">
        <v>500</v>
      </c>
      <c r="B6" t="s">
        <v>53</v>
      </c>
      <c r="C6" t="s">
        <v>54</v>
      </c>
      <c r="D6" t="str">
        <f>TblEmpleados[[#This Row],[NOMBRES]]&amp;" "&amp;TblEmpleados[[#This Row],[APELLIDOS]]</f>
        <v>JUAN PABLO OROZCO HURTADO</v>
      </c>
      <c r="E6" s="6" t="s">
        <v>55</v>
      </c>
      <c r="F6" t="s">
        <v>34</v>
      </c>
      <c r="G6" t="s">
        <v>56</v>
      </c>
      <c r="H6" t="s">
        <v>13</v>
      </c>
      <c r="I6" t="s">
        <v>44</v>
      </c>
      <c r="J6" s="7">
        <f>VLOOKUP(TblEmpleados[[#This Row],[CARGO]],RANGOCARGOSUELDO,2,FALSE)</f>
        <v>2600000</v>
      </c>
      <c r="K6" t="s">
        <v>57</v>
      </c>
      <c r="L6" t="s">
        <v>69</v>
      </c>
      <c r="M6" t="s">
        <v>68</v>
      </c>
      <c r="N6" s="7">
        <f>IF(TblEmpleados[[#This Row],[SUELDO]]&lt;=1600000,0,IF(TblEmpleados[[#This Row],[SUELDO]]&lt;=3000000,TblEmpleados[[#This Row],[SUELDO]]*(1/100),TblEmpleados[[#This Row],[SUELDO]]*(2/100)))</f>
        <v>26000</v>
      </c>
      <c r="O6" s="7">
        <f>IF(TblEmpleados[[#This Row],[SINDICATO]]="S",IF(TblEmpleados[[#This Row],[CARGO]]="SERVICIOS GENERALES",5000,TblEmpleados[[#This Row],[SUELDO]]*(1/100)),0)</f>
        <v>0</v>
      </c>
      <c r="P6" s="7">
        <f>IF(TblEmpleados[[#This Row],[CORPORACION EMP]]="S",IF(TblEmpleados[[#This Row],[SUELDO]]&lt;=2500000,10000,15000),0)</f>
        <v>15000</v>
      </c>
      <c r="Q6" s="20">
        <f>IF(TblEmpleados[[#This Row],[CIUDAD]]&lt;&gt;"PEREIRA",30000,IF(TblEmpleados[[#This Row],[SUELDO]]&lt;=2800000,30000,0))</f>
        <v>30000</v>
      </c>
      <c r="R6" s="7">
        <f>IF(OR(TblEmpleados[[#This Row],[CIUDAD]]&lt;&gt;"Pereira",TblEmpleados[[#This Row],[SUELDO]]&lt;=2800000),30000,0)</f>
        <v>30000</v>
      </c>
    </row>
    <row r="7" spans="1:18" x14ac:dyDescent="0.25">
      <c r="A7">
        <v>600</v>
      </c>
      <c r="B7" t="s">
        <v>70</v>
      </c>
      <c r="C7" t="s">
        <v>71</v>
      </c>
      <c r="D7" s="5" t="str">
        <f>TblEmpleados[[#This Row],[NOMBRES]]&amp;" "&amp;TblEmpleados[[#This Row],[APELLIDOS]]</f>
        <v>ORLANDO ARIAS RAMIREZ</v>
      </c>
      <c r="E7" s="6" t="s">
        <v>72</v>
      </c>
      <c r="F7" t="s">
        <v>12</v>
      </c>
      <c r="G7">
        <v>3239854</v>
      </c>
      <c r="H7" t="s">
        <v>73</v>
      </c>
      <c r="I7" t="s">
        <v>74</v>
      </c>
      <c r="J7" s="7">
        <f>VLOOKUP(TblEmpleados[[#This Row],[CARGO]],RANGOCARGOSUELDO,2,FALSE)</f>
        <v>1800000</v>
      </c>
      <c r="K7" t="s">
        <v>21</v>
      </c>
      <c r="L7" t="s">
        <v>28</v>
      </c>
      <c r="M7" t="s">
        <v>28</v>
      </c>
      <c r="N7" s="7">
        <f>IF(TblEmpleados[[#This Row],[SUELDO]]&lt;=1600000,0,IF(TblEmpleados[[#This Row],[SUELDO]]&lt;=3000000,TblEmpleados[[#This Row],[SUELDO]]*(1/100),TblEmpleados[[#This Row],[SUELDO]]*(2/100)))</f>
        <v>18000</v>
      </c>
      <c r="O7" s="7">
        <f>IF(TblEmpleados[[#This Row],[SINDICATO]]="S",IF(TblEmpleados[[#This Row],[CARGO]]="SERVICIOS GENERALES",5000,TblEmpleados[[#This Row],[SUELDO]]*(1/100)),0)</f>
        <v>18000</v>
      </c>
      <c r="P7" s="7">
        <f>IF(TblEmpleados[[#This Row],[CORPORACION EMP]]="S",IF(TblEmpleados[[#This Row],[SUELDO]]&lt;=2500000,10000,15000),0)</f>
        <v>10000</v>
      </c>
      <c r="Q7" s="20">
        <f>IF(TblEmpleados[[#This Row],[CIUDAD]]&lt;&gt;"PEREIRA",30000,IF(TblEmpleados[[#This Row],[SUELDO]]&lt;=2800000,30000,0))</f>
        <v>30000</v>
      </c>
      <c r="R7" s="7">
        <f>IF(OR(TblEmpleados[[#This Row],[CIUDAD]]&lt;&gt;"Pereira",TblEmpleados[[#This Row],[SUELDO]]&lt;=2800000),30000,0)</f>
        <v>30000</v>
      </c>
    </row>
    <row r="8" spans="1:18" ht="30" hidden="1" x14ac:dyDescent="0.25">
      <c r="A8">
        <v>700</v>
      </c>
      <c r="B8" t="s">
        <v>75</v>
      </c>
      <c r="C8" t="s">
        <v>76</v>
      </c>
      <c r="D8" s="5" t="str">
        <f>TblEmpleados[[#This Row],[NOMBRES]]&amp;" "&amp;TblEmpleados[[#This Row],[APELLIDOS]]</f>
        <v>MARTHA RIOS OSPINA</v>
      </c>
      <c r="E8" s="6" t="s">
        <v>77</v>
      </c>
      <c r="F8" t="s">
        <v>18</v>
      </c>
      <c r="G8">
        <v>3238966657</v>
      </c>
      <c r="H8" t="s">
        <v>78</v>
      </c>
      <c r="I8" t="s">
        <v>40</v>
      </c>
      <c r="J8" s="7">
        <f>VLOOKUP(TblEmpleados[[#This Row],[CARGO]],RANGOCARGOSUELDO,2,FALSE)</f>
        <v>800000</v>
      </c>
      <c r="K8" t="s">
        <v>14</v>
      </c>
      <c r="L8" t="s">
        <v>69</v>
      </c>
      <c r="M8" t="s">
        <v>69</v>
      </c>
      <c r="N8" s="7">
        <f>IF(TblEmpleados[[#This Row],[SUELDO]]&lt;=1600000,0,IF(TblEmpleados[[#This Row],[SUELDO]]&lt;=3000000,TblEmpleados[[#This Row],[SUELDO]]*(1/100),TblEmpleados[[#This Row],[SUELDO]]*(2/100)))</f>
        <v>0</v>
      </c>
      <c r="O8" s="7">
        <f>IF(TblEmpleados[[#This Row],[SINDICATO]]="S",IF(TblEmpleados[[#This Row],[CARGO]]="SERVICIOS GENERALES",5000,TblEmpleados[[#This Row],[SUELDO]]*(1/100)),0)</f>
        <v>0</v>
      </c>
      <c r="P8" s="7">
        <f>IF(TblEmpleados[[#This Row],[CORPORACION EMP]]="S",IF(TblEmpleados[[#This Row],[SUELDO]]&lt;=2500000,10000,15000),0)</f>
        <v>0</v>
      </c>
      <c r="Q8" s="20">
        <f>IF(TblEmpleados[[#This Row],[CIUDAD]]&lt;&gt;"PEREIRA",30000,IF(TblEmpleados[[#This Row],[SUELDO]]&lt;=2800000,30000,0))</f>
        <v>30000</v>
      </c>
      <c r="R8" s="7">
        <f>IF(OR(TblEmpleados[[#This Row],[CIUDAD]]&lt;&gt;"Pereira",TblEmpleados[[#This Row],[SUELDO]]&lt;=2800000),30000,0)</f>
        <v>30000</v>
      </c>
    </row>
    <row r="9" spans="1:18" x14ac:dyDescent="0.25">
      <c r="A9">
        <v>800</v>
      </c>
      <c r="B9" t="s">
        <v>79</v>
      </c>
      <c r="C9" t="s">
        <v>80</v>
      </c>
      <c r="D9" s="5" t="str">
        <f>TblEmpleados[[#This Row],[NOMBRES]]&amp;" "&amp;TblEmpleados[[#This Row],[APELLIDOS]]</f>
        <v>Ivan Alexander Londoño Orozco</v>
      </c>
      <c r="E9" s="6" t="s">
        <v>81</v>
      </c>
      <c r="F9" t="s">
        <v>12</v>
      </c>
      <c r="G9">
        <v>3106297785</v>
      </c>
      <c r="H9" t="s">
        <v>73</v>
      </c>
      <c r="I9" t="s">
        <v>74</v>
      </c>
      <c r="J9" s="7">
        <f>VLOOKUP(TblEmpleados[[#This Row],[CARGO]],RANGOCARGOSUELDO,2,FALSE)</f>
        <v>1800000</v>
      </c>
      <c r="K9" t="s">
        <v>21</v>
      </c>
      <c r="L9" t="s">
        <v>69</v>
      </c>
      <c r="M9" t="s">
        <v>68</v>
      </c>
      <c r="N9" s="7">
        <f>IF(TblEmpleados[[#This Row],[SUELDO]]&lt;=1600000,0,IF(TblEmpleados[[#This Row],[SUELDO]]&lt;=3000000,TblEmpleados[[#This Row],[SUELDO]]*(1/100),TblEmpleados[[#This Row],[SUELDO]]*(2/100)))</f>
        <v>18000</v>
      </c>
      <c r="O9" s="7">
        <f>IF(TblEmpleados[[#This Row],[SINDICATO]]="S",IF(TblEmpleados[[#This Row],[CARGO]]="SERVICIOS GENERALES",5000,TblEmpleados[[#This Row],[SUELDO]]*(1/100)),0)</f>
        <v>0</v>
      </c>
      <c r="P9" s="7">
        <f>IF(TblEmpleados[[#This Row],[CORPORACION EMP]]="S",IF(TblEmpleados[[#This Row],[SUELDO]]&lt;=2500000,10000,15000),0)</f>
        <v>10000</v>
      </c>
      <c r="Q9" s="20">
        <f>IF(TblEmpleados[[#This Row],[CIUDAD]]&lt;&gt;"PEREIRA",30000,IF(TblEmpleados[[#This Row],[SUELDO]]&lt;=2800000,30000,0))</f>
        <v>30000</v>
      </c>
      <c r="R9" s="7">
        <f>IF(OR(TblEmpleados[[#This Row],[CIUDAD]]&lt;&gt;"Pereira",TblEmpleados[[#This Row],[SUELDO]]&lt;=2800000),30000,0)</f>
        <v>30000</v>
      </c>
    </row>
    <row r="10" spans="1:18" hidden="1" x14ac:dyDescent="0.25">
      <c r="A10">
        <v>900</v>
      </c>
      <c r="B10" t="s">
        <v>112</v>
      </c>
      <c r="C10" t="s">
        <v>113</v>
      </c>
      <c r="D10" s="5" t="str">
        <f>TblEmpleados[[#This Row],[NOMBRES]]&amp;" "&amp;TblEmpleados[[#This Row],[APELLIDOS]]</f>
        <v>Natalia Hurtado Londoño</v>
      </c>
      <c r="E10" s="6" t="s">
        <v>114</v>
      </c>
      <c r="F10" t="s">
        <v>18</v>
      </c>
      <c r="G10">
        <v>2365898</v>
      </c>
      <c r="H10" t="s">
        <v>20</v>
      </c>
      <c r="I10" t="s">
        <v>41</v>
      </c>
      <c r="J10" s="7">
        <f>VLOOKUP(TblEmpleados[[#This Row],[CARGO]],RANGOCARGOSUELDO,2,FALSE)</f>
        <v>800000</v>
      </c>
      <c r="K10" t="s">
        <v>48</v>
      </c>
      <c r="L10" t="s">
        <v>28</v>
      </c>
      <c r="M10" t="s">
        <v>28</v>
      </c>
      <c r="N10" s="7">
        <f>IF(TblEmpleados[[#This Row],[SUELDO]]&lt;=1600000,0,IF(TblEmpleados[[#This Row],[SUELDO]]&lt;=3000000,TblEmpleados[[#This Row],[SUELDO]]*(1/100),TblEmpleados[[#This Row],[SUELDO]]*(2/100)))</f>
        <v>0</v>
      </c>
      <c r="O10" s="7">
        <f>IF(TblEmpleados[[#This Row],[SINDICATO]]="S",IF(TblEmpleados[[#This Row],[CARGO]]="SERVICIOS GENERALES",5000,TblEmpleados[[#This Row],[SUELDO]]*(1/100)),0)</f>
        <v>8000</v>
      </c>
      <c r="P10" s="7">
        <f>IF(TblEmpleados[[#This Row],[CORPORACION EMP]]="S",IF(TblEmpleados[[#This Row],[SUELDO]]&lt;=2500000,10000,15000),0)</f>
        <v>10000</v>
      </c>
      <c r="Q10" s="20">
        <f>IF(TblEmpleados[[#This Row],[CIUDAD]]&lt;&gt;"PEREIRA",30000,IF(TblEmpleados[[#This Row],[SUELDO]]&lt;=2800000,30000,0))</f>
        <v>30000</v>
      </c>
      <c r="R10" s="7">
        <f>IF(OR(TblEmpleados[[#This Row],[CIUDAD]]&lt;&gt;"Pereira",TblEmpleados[[#This Row],[SUELDO]]&lt;=2800000),30000,0)</f>
        <v>30000</v>
      </c>
    </row>
    <row r="11" spans="1:18" ht="30" x14ac:dyDescent="0.25">
      <c r="A11">
        <v>1000</v>
      </c>
      <c r="B11" t="s">
        <v>115</v>
      </c>
      <c r="C11" t="s">
        <v>116</v>
      </c>
      <c r="D11" s="5" t="str">
        <f>TblEmpleados[[#This Row],[NOMBRES]]&amp;" "&amp;TblEmpleados[[#This Row],[APELLIDOS]]</f>
        <v>Juan Plablo Galeano Garcia</v>
      </c>
      <c r="E11" s="6" t="s">
        <v>117</v>
      </c>
      <c r="F11" t="s">
        <v>12</v>
      </c>
      <c r="G11">
        <v>3147896635</v>
      </c>
      <c r="H11" t="s">
        <v>73</v>
      </c>
      <c r="I11" t="s">
        <v>74</v>
      </c>
      <c r="J11" s="7">
        <f>VLOOKUP(TblEmpleados[[#This Row],[CARGO]],RANGOCARGOSUELDO,2,FALSE)</f>
        <v>1800000</v>
      </c>
      <c r="K11" t="s">
        <v>21</v>
      </c>
      <c r="L11" t="s">
        <v>69</v>
      </c>
      <c r="M11" t="s">
        <v>69</v>
      </c>
      <c r="N11" s="7">
        <f>IF(TblEmpleados[[#This Row],[SUELDO]]&lt;=1600000,0,IF(TblEmpleados[[#This Row],[SUELDO]]&lt;=3000000,TblEmpleados[[#This Row],[SUELDO]]*(1/100),TblEmpleados[[#This Row],[SUELDO]]*(2/100)))</f>
        <v>18000</v>
      </c>
      <c r="O11" s="7">
        <f>IF(TblEmpleados[[#This Row],[SINDICATO]]="S",IF(TblEmpleados[[#This Row],[CARGO]]="SERVICIOS GENERALES",5000,TblEmpleados[[#This Row],[SUELDO]]*(1/100)),0)</f>
        <v>0</v>
      </c>
      <c r="P11" s="7">
        <f>IF(TblEmpleados[[#This Row],[CORPORACION EMP]]="S",IF(TblEmpleados[[#This Row],[SUELDO]]&lt;=2500000,10000,15000),0)</f>
        <v>0</v>
      </c>
      <c r="Q11" s="20">
        <f>IF(TblEmpleados[[#This Row],[CIUDAD]]&lt;&gt;"PEREIRA",30000,IF(TblEmpleados[[#This Row],[SUELDO]]&lt;=2800000,30000,0))</f>
        <v>30000</v>
      </c>
      <c r="R11" s="7">
        <f>IF(OR(TblEmpleados[[#This Row],[CIUDAD]]&lt;&gt;"Pereira",TblEmpleados[[#This Row],[SUELDO]]&lt;=2800000),30000,0)</f>
        <v>30000</v>
      </c>
    </row>
    <row r="12" spans="1:18" ht="30" x14ac:dyDescent="0.25">
      <c r="A12">
        <v>1100</v>
      </c>
      <c r="B12" t="s">
        <v>118</v>
      </c>
      <c r="C12" t="s">
        <v>119</v>
      </c>
      <c r="D12" s="5" t="str">
        <f>TblEmpleados[[#This Row],[NOMBRES]]&amp;" "&amp;TblEmpleados[[#This Row],[APELLIDOS]]</f>
        <v>Alexander Santacruz Ortiz</v>
      </c>
      <c r="E12" s="6" t="s">
        <v>120</v>
      </c>
      <c r="F12" t="s">
        <v>12</v>
      </c>
      <c r="G12">
        <v>3147859968</v>
      </c>
      <c r="H12" t="s">
        <v>73</v>
      </c>
      <c r="I12" t="s">
        <v>74</v>
      </c>
      <c r="J12" s="7">
        <f>VLOOKUP(TblEmpleados[[#This Row],[CARGO]],RANGOCARGOSUELDO,2,FALSE)</f>
        <v>1800000</v>
      </c>
      <c r="K12" t="s">
        <v>14</v>
      </c>
      <c r="L12" t="s">
        <v>68</v>
      </c>
      <c r="M12" t="s">
        <v>69</v>
      </c>
      <c r="N12" s="7">
        <f>IF(TblEmpleados[[#This Row],[SUELDO]]&lt;=1600000,0,IF(TblEmpleados[[#This Row],[SUELDO]]&lt;=3000000,TblEmpleados[[#This Row],[SUELDO]]*(1/100),TblEmpleados[[#This Row],[SUELDO]]*(2/100)))</f>
        <v>18000</v>
      </c>
      <c r="O12" s="7">
        <f>IF(TblEmpleados[[#This Row],[SINDICATO]]="S",IF(TblEmpleados[[#This Row],[CARGO]]="SERVICIOS GENERALES",5000,TblEmpleados[[#This Row],[SUELDO]]*(1/100)),0)</f>
        <v>18000</v>
      </c>
      <c r="P12" s="7">
        <f>IF(TblEmpleados[[#This Row],[CORPORACION EMP]]="S",IF(TblEmpleados[[#This Row],[SUELDO]]&lt;=2500000,10000,15000),0)</f>
        <v>0</v>
      </c>
      <c r="Q12" s="20">
        <f>IF(TblEmpleados[[#This Row],[CIUDAD]]&lt;&gt;"PEREIRA",30000,IF(TblEmpleados[[#This Row],[SUELDO]]&lt;=2800000,30000,0))</f>
        <v>30000</v>
      </c>
      <c r="R12" s="7">
        <f>IF(OR(TblEmpleados[[#This Row],[CIUDAD]]&lt;&gt;"Pereira",TblEmpleados[[#This Row],[SUELDO]]&lt;=2800000),30000,0)</f>
        <v>30000</v>
      </c>
    </row>
  </sheetData>
  <conditionalFormatting sqref="H2:H12">
    <cfRule type="cellIs" dxfId="11" priority="4" operator="equal">
      <formula>"F"</formula>
    </cfRule>
    <cfRule type="cellIs" dxfId="10" priority="5" operator="equal">
      <formula>"M"</formula>
    </cfRule>
  </conditionalFormatting>
  <conditionalFormatting sqref="J2:J12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{1CDA295A-EF44-4C20-BA1E-332BEB9CB5DD}</x14:id>
        </ext>
      </extLst>
    </cfRule>
  </conditionalFormatting>
  <conditionalFormatting sqref="L5:L12">
    <cfRule type="cellIs" dxfId="9" priority="2" operator="equal">
      <formula>"S"</formula>
    </cfRule>
  </conditionalFormatting>
  <conditionalFormatting sqref="M5:M12">
    <cfRule type="cellIs" dxfId="8" priority="1" operator="equal">
      <formula>"S"</formula>
    </cfRule>
  </conditionalFormatting>
  <dataValidations disablePrompts="1" count="5">
    <dataValidation type="list" allowBlank="1" showInputMessage="1" showErrorMessage="1" sqref="F2:F12">
      <formula1>RangoCiudades</formula1>
    </dataValidation>
    <dataValidation type="list" allowBlank="1" showInputMessage="1" showErrorMessage="1" sqref="I2:I12">
      <formula1>RANGOCARGO</formula1>
    </dataValidation>
    <dataValidation type="list" allowBlank="1" showInputMessage="1" showErrorMessage="1" sqref="K2:K12">
      <formula1>RANGODEPENDENCIA</formula1>
    </dataValidation>
    <dataValidation type="list" allowBlank="1" showInputMessage="1" showErrorMessage="1" sqref="J10:J11">
      <formula1>RANGOSUELDO</formula1>
    </dataValidation>
    <dataValidation type="whole" operator="greaterThanOrEqual" allowBlank="1" showInputMessage="1" showErrorMessage="1" sqref="J2:J9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DA295A-EF44-4C20-BA1E-332BEB9CB5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J2:J12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1"/>
  <sheetViews>
    <sheetView topLeftCell="A23" zoomScale="170" zoomScaleNormal="170" workbookViewId="0">
      <selection activeCell="B33" sqref="B33"/>
    </sheetView>
  </sheetViews>
  <sheetFormatPr baseColWidth="10" defaultRowHeight="15" x14ac:dyDescent="0.25"/>
  <cols>
    <col min="1" max="1" width="23.42578125" customWidth="1"/>
  </cols>
  <sheetData>
    <row r="1" spans="1:3" ht="15.75" x14ac:dyDescent="0.25">
      <c r="A1" s="24" t="s">
        <v>82</v>
      </c>
      <c r="B1" s="24"/>
      <c r="C1" s="24"/>
    </row>
    <row r="2" spans="1:3" x14ac:dyDescent="0.25">
      <c r="A2" s="25" t="s">
        <v>126</v>
      </c>
      <c r="B2" s="25"/>
      <c r="C2" s="25"/>
    </row>
    <row r="3" spans="1:3" x14ac:dyDescent="0.25">
      <c r="A3" s="18" t="s">
        <v>121</v>
      </c>
      <c r="B3" s="18" t="s">
        <v>122</v>
      </c>
    </row>
    <row r="4" spans="1:3" x14ac:dyDescent="0.25">
      <c r="A4" s="4" t="s">
        <v>123</v>
      </c>
      <c r="B4" s="17">
        <v>0</v>
      </c>
    </row>
    <row r="5" spans="1:3" x14ac:dyDescent="0.25">
      <c r="A5" s="4" t="s">
        <v>124</v>
      </c>
      <c r="B5" s="17">
        <v>1</v>
      </c>
    </row>
    <row r="6" spans="1:3" x14ac:dyDescent="0.25">
      <c r="A6" s="4" t="s">
        <v>125</v>
      </c>
      <c r="B6" s="17">
        <v>2</v>
      </c>
    </row>
    <row r="8" spans="1:3" ht="12.75" customHeight="1" x14ac:dyDescent="0.25"/>
    <row r="9" spans="1:3" ht="15" customHeight="1" x14ac:dyDescent="0.25">
      <c r="A9" s="23" t="s">
        <v>128</v>
      </c>
      <c r="B9" s="23"/>
      <c r="C9" s="23"/>
    </row>
    <row r="10" spans="1:3" x14ac:dyDescent="0.25">
      <c r="A10" s="23"/>
      <c r="B10" s="23"/>
      <c r="C10" s="23"/>
    </row>
    <row r="11" spans="1:3" x14ac:dyDescent="0.25">
      <c r="A11" s="23"/>
      <c r="B11" s="23"/>
      <c r="C11" s="23"/>
    </row>
    <row r="12" spans="1:3" x14ac:dyDescent="0.25">
      <c r="A12" s="23"/>
      <c r="B12" s="23"/>
      <c r="C12" s="23"/>
    </row>
    <row r="13" spans="1:3" ht="15" customHeight="1" x14ac:dyDescent="0.25">
      <c r="A13" s="23"/>
      <c r="B13" s="23"/>
      <c r="C13" s="23"/>
    </row>
    <row r="14" spans="1:3" ht="9.75" hidden="1" customHeight="1" x14ac:dyDescent="0.25">
      <c r="A14" s="23"/>
      <c r="B14" s="23"/>
      <c r="C14" s="23"/>
    </row>
    <row r="15" spans="1:3" hidden="1" x14ac:dyDescent="0.25">
      <c r="A15" s="23"/>
      <c r="B15" s="23"/>
      <c r="C15" s="23"/>
    </row>
    <row r="17" spans="1:3" x14ac:dyDescent="0.25">
      <c r="A17" s="23" t="s">
        <v>129</v>
      </c>
      <c r="B17" s="23"/>
      <c r="C17" s="23"/>
    </row>
    <row r="18" spans="1:3" x14ac:dyDescent="0.25">
      <c r="A18" s="23"/>
      <c r="B18" s="23"/>
      <c r="C18" s="23"/>
    </row>
    <row r="19" spans="1:3" ht="36.75" customHeight="1" x14ac:dyDescent="0.25">
      <c r="A19" s="23"/>
      <c r="B19" s="23"/>
      <c r="C19" s="23"/>
    </row>
    <row r="21" spans="1:3" x14ac:dyDescent="0.25">
      <c r="A21" s="23" t="s">
        <v>138</v>
      </c>
      <c r="B21" s="23"/>
      <c r="C21" s="23"/>
    </row>
    <row r="22" spans="1:3" x14ac:dyDescent="0.25">
      <c r="A22" s="23"/>
      <c r="B22" s="23"/>
      <c r="C22" s="23"/>
    </row>
    <row r="23" spans="1:3" x14ac:dyDescent="0.25">
      <c r="A23" s="23"/>
      <c r="B23" s="23"/>
      <c r="C23" s="23"/>
    </row>
    <row r="25" spans="1:3" ht="33" customHeight="1" x14ac:dyDescent="0.25">
      <c r="A25" s="28" t="s">
        <v>143</v>
      </c>
      <c r="B25" s="28"/>
      <c r="C25" s="28"/>
    </row>
    <row r="26" spans="1:3" x14ac:dyDescent="0.25">
      <c r="A26" s="27"/>
      <c r="B26" s="27"/>
      <c r="C26" s="27"/>
    </row>
    <row r="27" spans="1:3" x14ac:dyDescent="0.25">
      <c r="A27" s="27" t="s">
        <v>149</v>
      </c>
      <c r="B27" s="27"/>
      <c r="C27" s="27"/>
    </row>
    <row r="29" spans="1:3" ht="56.25" customHeight="1" x14ac:dyDescent="0.25">
      <c r="A29" s="28" t="s">
        <v>151</v>
      </c>
      <c r="B29" s="28"/>
      <c r="C29" s="28"/>
    </row>
    <row r="31" spans="1:3" ht="34.5" customHeight="1" x14ac:dyDescent="0.25">
      <c r="A31" s="28" t="s">
        <v>150</v>
      </c>
      <c r="B31" s="28"/>
      <c r="C31" s="28"/>
    </row>
  </sheetData>
  <mergeCells count="10">
    <mergeCell ref="A25:C25"/>
    <mergeCell ref="A26:C26"/>
    <mergeCell ref="A27:C27"/>
    <mergeCell ref="A29:C29"/>
    <mergeCell ref="A31:C31"/>
    <mergeCell ref="A17:C19"/>
    <mergeCell ref="A21:C23"/>
    <mergeCell ref="A1:C1"/>
    <mergeCell ref="A2:C2"/>
    <mergeCell ref="A9:C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2"/>
  <sheetViews>
    <sheetView zoomScale="130" zoomScaleNormal="130" workbookViewId="0">
      <selection activeCell="C7" sqref="C7"/>
    </sheetView>
  </sheetViews>
  <sheetFormatPr baseColWidth="10" defaultRowHeight="15" x14ac:dyDescent="0.25"/>
  <cols>
    <col min="1" max="1" width="18.7109375" customWidth="1"/>
    <col min="3" max="3" width="24.42578125" customWidth="1"/>
    <col min="4" max="4" width="14.140625" bestFit="1" customWidth="1"/>
    <col min="6" max="6" width="18.7109375" customWidth="1"/>
  </cols>
  <sheetData>
    <row r="1" spans="1:6" x14ac:dyDescent="0.25">
      <c r="A1" s="3" t="s">
        <v>30</v>
      </c>
      <c r="C1" s="3" t="s">
        <v>7</v>
      </c>
      <c r="D1" s="3" t="s">
        <v>37</v>
      </c>
      <c r="F1" s="3" t="s">
        <v>38</v>
      </c>
    </row>
    <row r="2" spans="1:6" x14ac:dyDescent="0.25">
      <c r="A2" s="4" t="s">
        <v>12</v>
      </c>
      <c r="C2" t="s">
        <v>39</v>
      </c>
      <c r="D2" s="7">
        <v>1800000</v>
      </c>
      <c r="F2" t="s">
        <v>45</v>
      </c>
    </row>
    <row r="3" spans="1:6" x14ac:dyDescent="0.25">
      <c r="A3" s="4" t="s">
        <v>31</v>
      </c>
      <c r="C3" t="s">
        <v>40</v>
      </c>
      <c r="D3" s="7">
        <v>800000</v>
      </c>
      <c r="F3" t="s">
        <v>46</v>
      </c>
    </row>
    <row r="4" spans="1:6" x14ac:dyDescent="0.25">
      <c r="A4" s="4" t="s">
        <v>32</v>
      </c>
      <c r="C4" t="s">
        <v>41</v>
      </c>
      <c r="D4" s="7">
        <v>800000</v>
      </c>
      <c r="F4" t="s">
        <v>47</v>
      </c>
    </row>
    <row r="5" spans="1:6" x14ac:dyDescent="0.25">
      <c r="A5" s="4" t="s">
        <v>33</v>
      </c>
      <c r="C5" t="s">
        <v>42</v>
      </c>
      <c r="D5" s="7">
        <v>3000000</v>
      </c>
      <c r="F5" t="s">
        <v>48</v>
      </c>
    </row>
    <row r="6" spans="1:6" x14ac:dyDescent="0.25">
      <c r="A6" s="4" t="s">
        <v>34</v>
      </c>
      <c r="C6" t="s">
        <v>43</v>
      </c>
      <c r="D6" s="7">
        <v>2000000</v>
      </c>
      <c r="F6" t="s">
        <v>14</v>
      </c>
    </row>
    <row r="7" spans="1:6" x14ac:dyDescent="0.25">
      <c r="A7" s="4" t="s">
        <v>35</v>
      </c>
      <c r="C7" t="s">
        <v>44</v>
      </c>
      <c r="D7" s="7">
        <v>2600000</v>
      </c>
      <c r="F7" t="s">
        <v>25</v>
      </c>
    </row>
    <row r="8" spans="1:6" x14ac:dyDescent="0.25">
      <c r="A8" s="4" t="s">
        <v>18</v>
      </c>
      <c r="C8" t="s">
        <v>74</v>
      </c>
      <c r="D8" s="7">
        <v>1800000</v>
      </c>
      <c r="F8" t="s">
        <v>21</v>
      </c>
    </row>
    <row r="9" spans="1:6" x14ac:dyDescent="0.25">
      <c r="A9" s="4" t="s">
        <v>36</v>
      </c>
      <c r="C9" t="s">
        <v>127</v>
      </c>
      <c r="D9" s="7">
        <v>900000</v>
      </c>
      <c r="F9" t="s">
        <v>49</v>
      </c>
    </row>
    <row r="10" spans="1:6" x14ac:dyDescent="0.25">
      <c r="A10" s="4"/>
      <c r="D10" s="7"/>
      <c r="F10" t="s">
        <v>57</v>
      </c>
    </row>
    <row r="11" spans="1:6" x14ac:dyDescent="0.25">
      <c r="A11" s="4"/>
      <c r="F11" t="s">
        <v>58</v>
      </c>
    </row>
    <row r="12" spans="1:6" x14ac:dyDescent="0.25">
      <c r="A1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8"/>
  <sheetViews>
    <sheetView topLeftCell="L1" zoomScale="140" zoomScaleNormal="140" workbookViewId="0">
      <selection activeCell="O3" sqref="O3"/>
    </sheetView>
  </sheetViews>
  <sheetFormatPr baseColWidth="10" defaultRowHeight="15" x14ac:dyDescent="0.25"/>
  <cols>
    <col min="1" max="1" width="16.42578125" customWidth="1"/>
    <col min="2" max="2" width="16.85546875" customWidth="1"/>
    <col min="3" max="3" width="21.28515625" customWidth="1"/>
    <col min="4" max="4" width="13.85546875" customWidth="1"/>
    <col min="5" max="5" width="14" customWidth="1"/>
    <col min="6" max="6" width="11.5703125" customWidth="1"/>
    <col min="9" max="9" width="14.140625" customWidth="1"/>
    <col min="10" max="10" width="11.5703125" bestFit="1" customWidth="1"/>
    <col min="11" max="11" width="13.140625" bestFit="1" customWidth="1"/>
    <col min="14" max="14" width="15" bestFit="1" customWidth="1"/>
    <col min="15" max="15" width="14.5703125" customWidth="1"/>
  </cols>
  <sheetData>
    <row r="1" spans="1:16" x14ac:dyDescent="0.25">
      <c r="A1" s="9" t="s">
        <v>4</v>
      </c>
      <c r="B1" s="9" t="s">
        <v>66</v>
      </c>
      <c r="C1" s="9" t="s">
        <v>67</v>
      </c>
      <c r="D1" s="8" t="s">
        <v>83</v>
      </c>
      <c r="E1" s="8" t="s">
        <v>84</v>
      </c>
      <c r="F1" s="8" t="s">
        <v>85</v>
      </c>
      <c r="I1" s="16" t="s">
        <v>111</v>
      </c>
      <c r="J1">
        <v>10</v>
      </c>
    </row>
    <row r="2" spans="1:16" x14ac:dyDescent="0.25">
      <c r="A2" s="4" t="s">
        <v>60</v>
      </c>
      <c r="B2" s="4" t="s">
        <v>61</v>
      </c>
      <c r="C2" s="4" t="str">
        <f>A2&amp;" "&amp;B2</f>
        <v>Pereira Risaralda</v>
      </c>
      <c r="D2" s="10">
        <v>550000</v>
      </c>
      <c r="E2" s="4" t="s">
        <v>86</v>
      </c>
      <c r="F2" s="4" t="s">
        <v>90</v>
      </c>
      <c r="M2" t="s">
        <v>134</v>
      </c>
      <c r="N2" t="s">
        <v>135</v>
      </c>
      <c r="O2" t="s">
        <v>141</v>
      </c>
      <c r="P2" t="s">
        <v>142</v>
      </c>
    </row>
    <row r="3" spans="1:16" x14ac:dyDescent="0.25">
      <c r="A3" s="4" t="s">
        <v>62</v>
      </c>
      <c r="B3" s="4" t="s">
        <v>63</v>
      </c>
      <c r="C3" s="4" t="str">
        <f>CONCATENATE(A3," ",B3)</f>
        <v>Cali Valle</v>
      </c>
      <c r="D3" s="10">
        <v>1200000</v>
      </c>
      <c r="E3" s="4" t="s">
        <v>87</v>
      </c>
      <c r="F3" s="4" t="s">
        <v>89</v>
      </c>
      <c r="I3" t="s">
        <v>108</v>
      </c>
      <c r="J3" t="s">
        <v>109</v>
      </c>
      <c r="K3" t="s">
        <v>110</v>
      </c>
      <c r="M3" t="s">
        <v>136</v>
      </c>
      <c r="N3" s="7">
        <v>50000000</v>
      </c>
      <c r="O3">
        <f>IF(M3="ALTO",IF(N3 &gt;80000000,2,0),0)</f>
        <v>0</v>
      </c>
    </row>
    <row r="4" spans="1:16" x14ac:dyDescent="0.25">
      <c r="A4" s="4" t="s">
        <v>64</v>
      </c>
      <c r="B4" s="4" t="s">
        <v>65</v>
      </c>
      <c r="C4" s="4" t="str">
        <f>CONCATENATE(A4," ",B4)</f>
        <v>Armenia Quindio</v>
      </c>
      <c r="D4" s="10">
        <v>500000</v>
      </c>
      <c r="E4" s="4" t="s">
        <v>88</v>
      </c>
      <c r="F4" s="4" t="s">
        <v>91</v>
      </c>
      <c r="I4" s="7">
        <v>1000000</v>
      </c>
      <c r="J4" s="7">
        <f>I4*($J$1/100)</f>
        <v>100000</v>
      </c>
      <c r="K4" s="7">
        <f>I4+J4</f>
        <v>1100000</v>
      </c>
      <c r="M4" t="s">
        <v>136</v>
      </c>
      <c r="N4" s="7">
        <v>150000000</v>
      </c>
      <c r="O4">
        <f t="shared" ref="O4:O6" si="0">IF(M4="ALTO",IF(N4 &gt;80000000,2,0),0)</f>
        <v>2</v>
      </c>
    </row>
    <row r="5" spans="1:16" x14ac:dyDescent="0.25">
      <c r="A5" s="4"/>
      <c r="B5" s="4"/>
      <c r="C5" s="4"/>
      <c r="D5" s="4"/>
      <c r="E5" s="4"/>
      <c r="F5" s="4"/>
      <c r="I5" s="7">
        <v>500000</v>
      </c>
      <c r="J5" s="7">
        <f t="shared" ref="J5:J7" si="1">I5*($J$1/100)</f>
        <v>50000</v>
      </c>
      <c r="K5" s="7">
        <f t="shared" ref="K5:K7" si="2">I5+J5</f>
        <v>550000</v>
      </c>
      <c r="M5" t="s">
        <v>137</v>
      </c>
      <c r="N5" s="7">
        <v>30000000</v>
      </c>
      <c r="O5">
        <f t="shared" si="0"/>
        <v>0</v>
      </c>
    </row>
    <row r="6" spans="1:16" x14ac:dyDescent="0.25">
      <c r="A6" s="4"/>
      <c r="B6" s="4"/>
      <c r="C6" s="4"/>
      <c r="D6" s="4"/>
      <c r="E6" s="4"/>
      <c r="F6" s="4"/>
      <c r="I6" s="7">
        <v>200000</v>
      </c>
      <c r="J6" s="7">
        <f t="shared" si="1"/>
        <v>20000</v>
      </c>
      <c r="K6" s="7">
        <f t="shared" si="2"/>
        <v>220000</v>
      </c>
      <c r="M6" t="s">
        <v>136</v>
      </c>
      <c r="N6" s="7">
        <v>90000000</v>
      </c>
      <c r="O6">
        <f t="shared" si="0"/>
        <v>2</v>
      </c>
    </row>
    <row r="7" spans="1:16" x14ac:dyDescent="0.25">
      <c r="A7" s="4"/>
      <c r="B7" s="4"/>
      <c r="C7" s="4"/>
      <c r="D7" s="4"/>
      <c r="E7" s="4"/>
      <c r="F7" s="4"/>
      <c r="I7" s="7">
        <v>2000000</v>
      </c>
      <c r="J7" s="7">
        <f t="shared" si="1"/>
        <v>200000</v>
      </c>
      <c r="K7" s="7">
        <f t="shared" si="2"/>
        <v>2200000</v>
      </c>
      <c r="N7" s="7"/>
    </row>
    <row r="8" spans="1:16" x14ac:dyDescent="0.25">
      <c r="I8" s="7"/>
      <c r="M8" t="s">
        <v>140</v>
      </c>
      <c r="N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0"/>
  <sheetViews>
    <sheetView workbookViewId="0">
      <selection activeCell="E6" sqref="E6"/>
    </sheetView>
  </sheetViews>
  <sheetFormatPr baseColWidth="10" defaultRowHeight="15" x14ac:dyDescent="0.25"/>
  <cols>
    <col min="1" max="2" width="18.28515625" customWidth="1"/>
    <col min="4" max="4" width="22.7109375" customWidth="1"/>
    <col min="5" max="5" width="31.42578125" customWidth="1"/>
  </cols>
  <sheetData>
    <row r="1" spans="1:5" ht="33" x14ac:dyDescent="0.45">
      <c r="A1" s="12" t="s">
        <v>92</v>
      </c>
      <c r="B1" s="13" t="s">
        <v>97</v>
      </c>
      <c r="D1" s="14" t="s">
        <v>98</v>
      </c>
      <c r="E1" s="15">
        <v>200</v>
      </c>
    </row>
    <row r="2" spans="1:5" x14ac:dyDescent="0.25">
      <c r="A2" s="11" t="s">
        <v>93</v>
      </c>
      <c r="B2" t="str">
        <f>VLOOKUP($B$1,RangoCiudadesyDatos,2,FALSE)</f>
        <v>Valle</v>
      </c>
      <c r="D2" s="11" t="s">
        <v>99</v>
      </c>
      <c r="E2" t="str">
        <f>VLOOKUP($E$1,TblEmpleados[],4,FALSE)</f>
        <v>ADRIANA OSORIO JIMENEZ</v>
      </c>
    </row>
    <row r="3" spans="1:5" x14ac:dyDescent="0.25">
      <c r="A3" s="11" t="s">
        <v>94</v>
      </c>
      <c r="B3" s="7">
        <f>VLOOKUP($B$1,RangoCiudadesyDatos,4,FALSE)</f>
        <v>1200000</v>
      </c>
      <c r="D3" s="11" t="s">
        <v>100</v>
      </c>
      <c r="E3" t="str">
        <f>VLOOKUP($E$1,TblEmpleados[],5,FALSE)</f>
        <v>CRA 15 20-36</v>
      </c>
    </row>
    <row r="4" spans="1:5" x14ac:dyDescent="0.25">
      <c r="A4" s="11" t="s">
        <v>95</v>
      </c>
      <c r="B4" t="str">
        <f>VLOOKUP(B1,RangoCiudadesyDatos,5,FALSE)</f>
        <v>Caña, Uva</v>
      </c>
      <c r="D4" s="11" t="s">
        <v>101</v>
      </c>
      <c r="E4" t="str">
        <f>VLOOKUP($E$1,TblEmpleados[],6,FALSE)</f>
        <v>PEREIRA</v>
      </c>
    </row>
    <row r="5" spans="1:5" x14ac:dyDescent="0.25">
      <c r="A5" s="11" t="s">
        <v>96</v>
      </c>
      <c r="B5" t="str">
        <f>VLOOKUP(B1,RangoCiudadesyDatos,6,FALSE)</f>
        <v>1.100 mt</v>
      </c>
      <c r="D5" s="11" t="s">
        <v>104</v>
      </c>
      <c r="E5" t="str">
        <f>VLOOKUP($E$1,TblEmpleados[],7,FALSE)</f>
        <v>314 456 9852</v>
      </c>
    </row>
    <row r="6" spans="1:5" x14ac:dyDescent="0.25">
      <c r="D6" s="11" t="s">
        <v>102</v>
      </c>
      <c r="E6" t="str">
        <f>VLOOKUP($E$1,TblEmpleados[],9,FALSE)</f>
        <v>JEFE DE PRODUCCIÓN</v>
      </c>
    </row>
    <row r="7" spans="1:5" x14ac:dyDescent="0.25">
      <c r="D7" s="11" t="s">
        <v>103</v>
      </c>
      <c r="E7" s="7">
        <f>VLOOKUP($E$1,TblEmpleados[],10,FALSE)</f>
        <v>2600000</v>
      </c>
    </row>
    <row r="8" spans="1:5" x14ac:dyDescent="0.25">
      <c r="D8" s="11" t="s">
        <v>107</v>
      </c>
      <c r="E8" t="str">
        <f>VLOOKUP($E$1,TblEmpleados[],11,FALSE)</f>
        <v>CONTABILIDAD</v>
      </c>
    </row>
    <row r="9" spans="1:5" x14ac:dyDescent="0.25">
      <c r="D9" s="11" t="s">
        <v>105</v>
      </c>
      <c r="E9" t="str">
        <f>VLOOKUP($E$1,TblEmpleados[],12,FALSE)</f>
        <v>N</v>
      </c>
    </row>
    <row r="10" spans="1:5" x14ac:dyDescent="0.25">
      <c r="D10" s="11" t="s">
        <v>106</v>
      </c>
      <c r="E10" t="str">
        <f>VLOOKUP($E$1,TblEmpleados[],13,FALSE)</f>
        <v>S</v>
      </c>
    </row>
  </sheetData>
  <conditionalFormatting sqref="E9">
    <cfRule type="cellIs" dxfId="7" priority="2" operator="equal">
      <formula>"S"</formula>
    </cfRule>
  </conditionalFormatting>
  <conditionalFormatting sqref="E7">
    <cfRule type="cellIs" dxfId="6" priority="1" operator="greaterThanOrEqual">
      <formula>1000000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Graf AuxTransxGen</vt:lpstr>
      <vt:lpstr>Hoja3</vt:lpstr>
      <vt:lpstr>EMPLEADOS</vt:lpstr>
      <vt:lpstr>Reglas de Negocio</vt:lpstr>
      <vt:lpstr>NOMINA</vt:lpstr>
      <vt:lpstr>TABLAS</vt:lpstr>
      <vt:lpstr>Pruebas</vt:lpstr>
      <vt:lpstr>Consultas</vt:lpstr>
      <vt:lpstr>Hoja2</vt:lpstr>
      <vt:lpstr>RANGOCARGO</vt:lpstr>
      <vt:lpstr>RANGOCARGOSUELDO</vt:lpstr>
      <vt:lpstr>RangoCiudades</vt:lpstr>
      <vt:lpstr>RangoCiudadesyDatos</vt:lpstr>
      <vt:lpstr>RANGODEPENDENCIA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2015-08-12T11:13:53Z</dcterms:created>
  <dcterms:modified xsi:type="dcterms:W3CDTF">2015-09-08T18:56:45Z</dcterms:modified>
</cp:coreProperties>
</file>